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BuÇalışmaKitabı" autoCompressPictures="0" defaultThemeVersion="124226"/>
  <mc:AlternateContent xmlns:mc="http://schemas.openxmlformats.org/markup-compatibility/2006">
    <mc:Choice Requires="x15">
      <x15ac:absPath xmlns:x15ac="http://schemas.microsoft.com/office/spreadsheetml/2010/11/ac" url="D:\Arif Gürer\Emek Defteri\Ödenekler Hesabı\01 - Genel Çalışmalar\Eklenenler\"/>
    </mc:Choice>
  </mc:AlternateContent>
  <xr:revisionPtr revIDLastSave="0" documentId="13_ncr:1_{7C8B3363-41DA-419F-A931-12EA1CA64694}" xr6:coauthVersionLast="47" xr6:coauthVersionMax="47" xr10:uidLastSave="{00000000-0000-0000-0000-000000000000}"/>
  <workbookProtection workbookAlgorithmName="SHA-512" workbookHashValue="PlOytxqqOWpKUCRbdxlUIiAMxBeaW4XU4liBivFgVPbAC7ouWoJk9rdZGsLsiuZYKQ4P9l0eCmlKEZpesCUgcA==" workbookSaltValue="DoPLXs1X4BxUybFVWuX7ww==" workbookSpinCount="100000" lockStructure="1"/>
  <bookViews>
    <workbookView xWindow="-120" yWindow="-120" windowWidth="29040" windowHeight="15840" xr2:uid="{00000000-000D-0000-FFFF-FFFF00000000}"/>
  </bookViews>
  <sheets>
    <sheet name="Özet Tablo" sheetId="130" r:id="rId1"/>
  </sheets>
  <definedNames>
    <definedName name="_xlnm._FilterDatabase" localSheetId="0" hidden="1">'Özet Tablo'!#REF!</definedName>
    <definedName name="Bartın_854">'Özet Tablo'!#REF!</definedName>
    <definedName name="Çanakkale_4857">'Özet Tablo'!#REF!</definedName>
    <definedName name="Çanakkale_854">'Özet Tablo'!#REF!</definedName>
    <definedName name="İST_K_4857">'Özet Tablo'!#REF!</definedName>
    <definedName name="İST_K_854">'Özet Tablo'!#REF!</definedName>
    <definedName name="İST_K_854_Deniz_Taksi">'Özet Tablo'!#REF!</definedName>
    <definedName name="İST_K_Güvenlik_Kapsam_Dışı">'Özet Tablo'!#REF!</definedName>
    <definedName name="İST_K_Kafe_Kapsam_Dışı">'Özet Tablo'!#REF!</definedName>
    <definedName name="İST_K_Temizlik_Kapsam_Dışı">'Özet Tablo'!#REF!</definedName>
    <definedName name="İST_Ö_4857">'Özet Tablo'!#REF!</definedName>
    <definedName name="İST_Ö_854">'Özet Tablo'!#REF!</definedName>
    <definedName name="İzmir_4857">'Özet Tablo'!#REF!</definedName>
    <definedName name="İzmir_854">'Özet Tablo'!#REF!</definedName>
    <definedName name="Zonguldak_854">'Özet Tablo'!#REF!</definedName>
  </definedNames>
  <calcPr calcId="191029" iterate="1"/>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130" l="1"/>
  <c r="AU16" i="130"/>
  <c r="AU17" i="130"/>
  <c r="AU18" i="130"/>
  <c r="AU19" i="130"/>
  <c r="AU20" i="130"/>
  <c r="AU21" i="130"/>
  <c r="AU22" i="130"/>
  <c r="AU23" i="130"/>
  <c r="AU24" i="130"/>
  <c r="AU25" i="130"/>
  <c r="AU26" i="130"/>
  <c r="AU15" i="130"/>
  <c r="AT16" i="130"/>
  <c r="AT17" i="130"/>
  <c r="AT18" i="130"/>
  <c r="AT19" i="130"/>
  <c r="AT20" i="130"/>
  <c r="AT21" i="130"/>
  <c r="AT22" i="130"/>
  <c r="AT23" i="130"/>
  <c r="AT24" i="130"/>
  <c r="AT25" i="130"/>
  <c r="AT26" i="130"/>
  <c r="AT15" i="130"/>
  <c r="AS16" i="130"/>
  <c r="AS17" i="130"/>
  <c r="AS18" i="130"/>
  <c r="AS19" i="130"/>
  <c r="AS20" i="130"/>
  <c r="AS21" i="130"/>
  <c r="AS22" i="130"/>
  <c r="AS23" i="130"/>
  <c r="AS24" i="130"/>
  <c r="AS25" i="130"/>
  <c r="AS26" i="130"/>
  <c r="AS15" i="130"/>
  <c r="O16" i="130"/>
  <c r="O17" i="130"/>
  <c r="O18" i="130"/>
  <c r="O19" i="130"/>
  <c r="O20" i="130"/>
  <c r="O21" i="130"/>
  <c r="O22" i="130"/>
  <c r="O23" i="130"/>
  <c r="O24" i="130"/>
  <c r="O25" i="130"/>
  <c r="O26" i="130"/>
  <c r="O15" i="130"/>
  <c r="AQ16" i="130"/>
  <c r="AQ17" i="130"/>
  <c r="AQ18" i="130"/>
  <c r="AQ19" i="130"/>
  <c r="AQ20" i="130"/>
  <c r="AQ21" i="130"/>
  <c r="AQ22" i="130"/>
  <c r="AQ23" i="130"/>
  <c r="AQ24" i="130"/>
  <c r="AQ25" i="130"/>
  <c r="AQ26" i="130"/>
  <c r="AQ15" i="130"/>
  <c r="AN17" i="130"/>
  <c r="AN18" i="130"/>
  <c r="AN19" i="130"/>
  <c r="AN20" i="130"/>
  <c r="AN21" i="130"/>
  <c r="AN22" i="130"/>
  <c r="AN23" i="130"/>
  <c r="AN24" i="130"/>
  <c r="AN25" i="130"/>
  <c r="AN26" i="130"/>
  <c r="AW16" i="130"/>
  <c r="AV4" i="130"/>
  <c r="AV5" i="130"/>
  <c r="AV6" i="130"/>
  <c r="AV7" i="130"/>
  <c r="AV8" i="130"/>
  <c r="AV9" i="130"/>
  <c r="AV10" i="130"/>
  <c r="AV11" i="130"/>
  <c r="AV2" i="130"/>
  <c r="AV12" i="130"/>
  <c r="AV3" i="130"/>
  <c r="AY16" i="130"/>
  <c r="AY17" i="130"/>
  <c r="AY18" i="130"/>
  <c r="AY19" i="130"/>
  <c r="AY20" i="130"/>
  <c r="AY21" i="130"/>
  <c r="AY22" i="130"/>
  <c r="AY23" i="130"/>
  <c r="AY24" i="130"/>
  <c r="AY25" i="130"/>
  <c r="AY26" i="130"/>
  <c r="AY15" i="130"/>
  <c r="AV1" i="130"/>
  <c r="AY11" i="130"/>
  <c r="AY10" i="130"/>
  <c r="AY8" i="130"/>
  <c r="AY7" i="130"/>
  <c r="AY5" i="130"/>
  <c r="AY4" i="130"/>
  <c r="AY1" i="130"/>
  <c r="AY2" i="130"/>
  <c r="AM30" i="130"/>
  <c r="AM31" i="130"/>
  <c r="AM32" i="130"/>
  <c r="AM33" i="130"/>
  <c r="AM34" i="130"/>
  <c r="AM35" i="130"/>
  <c r="AM36" i="130"/>
  <c r="AM37" i="130"/>
  <c r="AM38" i="130"/>
  <c r="AM39" i="130"/>
  <c r="AM40" i="130"/>
  <c r="AM29" i="130"/>
  <c r="AP30" i="130" l="1"/>
  <c r="AX2" i="130"/>
  <c r="AP31" i="130"/>
  <c r="AX3" i="130"/>
  <c r="AP32" i="130"/>
  <c r="AX4" i="130"/>
  <c r="AP33" i="130"/>
  <c r="AX5" i="130"/>
  <c r="AP34" i="130"/>
  <c r="AX6" i="130"/>
  <c r="AP35" i="130"/>
  <c r="AX7" i="130"/>
  <c r="AP36" i="130"/>
  <c r="AX8" i="130"/>
  <c r="AX9" i="130"/>
  <c r="AP37" i="130"/>
  <c r="AP38" i="130"/>
  <c r="AX10" i="130"/>
  <c r="AP39" i="130"/>
  <c r="AX11" i="130"/>
  <c r="AP40" i="130"/>
  <c r="AX12" i="130"/>
  <c r="AX1" i="130"/>
  <c r="AP29" i="130"/>
  <c r="AN16" i="130"/>
  <c r="AW15" i="130"/>
  <c r="AN15" i="130"/>
  <c r="AN30" i="130"/>
  <c r="AN31" i="130"/>
  <c r="AN32" i="130"/>
  <c r="AN33" i="130"/>
  <c r="AN34" i="130"/>
  <c r="AN35" i="130"/>
  <c r="AN36" i="130"/>
  <c r="AN37" i="130"/>
  <c r="AN38" i="130"/>
  <c r="AN39" i="130"/>
  <c r="AN40" i="130"/>
  <c r="AN29" i="130"/>
  <c r="BA18" i="130" l="1"/>
  <c r="AK4" i="130" s="1"/>
  <c r="BA19" i="130"/>
  <c r="BA20" i="130"/>
  <c r="AR34" i="130" s="1"/>
  <c r="AI6" i="130" s="1"/>
  <c r="AJ6" i="130" s="1"/>
  <c r="BA21" i="130"/>
  <c r="AR35" i="130" s="1"/>
  <c r="BA22" i="130"/>
  <c r="AR36" i="130" s="1"/>
  <c r="BA23" i="130"/>
  <c r="BA24" i="130"/>
  <c r="AR38" i="130" s="1"/>
  <c r="AI10" i="130" s="1"/>
  <c r="AJ10" i="130" s="1"/>
  <c r="BA25" i="130"/>
  <c r="AK11" i="130" s="1"/>
  <c r="AL11" i="130" s="1"/>
  <c r="BA26" i="130"/>
  <c r="BA15" i="130"/>
  <c r="AK1" i="130" s="1"/>
  <c r="AL1" i="130" s="1"/>
  <c r="BA16" i="130"/>
  <c r="BA17" i="130"/>
  <c r="AK3" i="130" s="1"/>
  <c r="BB16" i="130"/>
  <c r="BB17" i="130"/>
  <c r="BB18" i="130"/>
  <c r="BB19" i="130"/>
  <c r="BB20" i="130"/>
  <c r="BB21" i="130"/>
  <c r="BB22" i="130"/>
  <c r="BB23" i="130"/>
  <c r="BB24" i="130"/>
  <c r="BB25" i="130"/>
  <c r="BB26" i="130"/>
  <c r="BB15" i="130"/>
  <c r="F27" i="130"/>
  <c r="AV58" i="130"/>
  <c r="AU58" i="130"/>
  <c r="BA43" i="130"/>
  <c r="AZ43" i="130"/>
  <c r="AI55" i="130"/>
  <c r="AM55" i="130" s="1"/>
  <c r="AI54" i="130"/>
  <c r="AM54" i="130" s="1"/>
  <c r="AI53" i="130"/>
  <c r="AJ53" i="130" s="1"/>
  <c r="AI52" i="130"/>
  <c r="AN52" i="130" s="1"/>
  <c r="AI51" i="130"/>
  <c r="BF51" i="130" s="1"/>
  <c r="AI50" i="130"/>
  <c r="AM50" i="130" s="1"/>
  <c r="AI49" i="130"/>
  <c r="AI48" i="130"/>
  <c r="AI47" i="130"/>
  <c r="AJ47" i="130" s="1"/>
  <c r="AK47" i="130" s="1"/>
  <c r="AL47" i="130" s="1"/>
  <c r="AI46" i="130"/>
  <c r="AJ46" i="130" s="1"/>
  <c r="AI45" i="130"/>
  <c r="AI44" i="130"/>
  <c r="AJ44" i="130" s="1"/>
  <c r="AE13" i="130"/>
  <c r="AE34" i="130"/>
  <c r="AE33" i="130" s="1"/>
  <c r="AF26" i="130"/>
  <c r="AE25" i="130"/>
  <c r="AG25" i="130" s="1"/>
  <c r="AE24" i="130"/>
  <c r="AH24" i="130" s="1"/>
  <c r="AE23" i="130"/>
  <c r="AH23" i="130" s="1"/>
  <c r="AE22" i="130"/>
  <c r="AE19" i="130"/>
  <c r="AE17" i="130"/>
  <c r="AE18" i="130" s="1"/>
  <c r="AG18" i="130" s="1"/>
  <c r="AG7" i="130" s="1"/>
  <c r="AE16" i="130"/>
  <c r="AG16" i="130" s="1"/>
  <c r="AG5" i="130" s="1"/>
  <c r="AE4" i="130"/>
  <c r="AG4" i="130" s="1"/>
  <c r="AE3" i="130"/>
  <c r="AG3" i="130" s="1"/>
  <c r="AE2" i="130"/>
  <c r="AH2" i="130" s="1"/>
  <c r="Y2" i="130"/>
  <c r="BB60" i="130"/>
  <c r="BB61" i="130"/>
  <c r="BB62" i="130"/>
  <c r="BB63" i="130"/>
  <c r="BB64" i="130"/>
  <c r="BB65" i="130"/>
  <c r="BB66" i="130"/>
  <c r="BB67" i="130"/>
  <c r="BB68" i="130"/>
  <c r="BB69" i="130"/>
  <c r="BB70" i="130"/>
  <c r="BB59" i="130"/>
  <c r="AV27" i="130"/>
  <c r="G27" i="130"/>
  <c r="BA13" i="130"/>
  <c r="AT13" i="130"/>
  <c r="H27" i="130"/>
  <c r="AX45" i="130"/>
  <c r="AX46" i="130"/>
  <c r="AX47" i="130"/>
  <c r="AX48" i="130"/>
  <c r="AX49" i="130"/>
  <c r="AX50" i="130"/>
  <c r="AX51" i="130"/>
  <c r="AX52" i="130"/>
  <c r="AX53" i="130"/>
  <c r="AX54" i="130"/>
  <c r="AX55" i="130"/>
  <c r="AX44" i="130"/>
  <c r="AO45" i="130"/>
  <c r="AO46" i="130"/>
  <c r="AO47" i="130"/>
  <c r="AO48" i="130"/>
  <c r="AO49" i="130"/>
  <c r="AO50" i="130"/>
  <c r="AO51" i="130"/>
  <c r="AO52" i="130"/>
  <c r="AO53" i="130"/>
  <c r="AO54" i="130"/>
  <c r="AO55" i="130"/>
  <c r="AO44" i="130"/>
  <c r="AT45" i="130"/>
  <c r="AJ15" i="130"/>
  <c r="AK15" i="130" s="1"/>
  <c r="AT48" i="130"/>
  <c r="AT47" i="130"/>
  <c r="AT46" i="130"/>
  <c r="AV45" i="130"/>
  <c r="AN48" i="130" l="1"/>
  <c r="AP48" i="130" s="1"/>
  <c r="AQ48" i="130" s="1"/>
  <c r="AM48" i="130"/>
  <c r="AJ49" i="130"/>
  <c r="BF49" i="130"/>
  <c r="BF52" i="130"/>
  <c r="AE26" i="130"/>
  <c r="AG23" i="130"/>
  <c r="BF47" i="130"/>
  <c r="BF48" i="130"/>
  <c r="AH17" i="130"/>
  <c r="AH6" i="130" s="1"/>
  <c r="AG17" i="130"/>
  <c r="AG6" i="130" s="1"/>
  <c r="AH3" i="130"/>
  <c r="BF55" i="130"/>
  <c r="AH22" i="130"/>
  <c r="AG22" i="130"/>
  <c r="AG24" i="130"/>
  <c r="AH4" i="130"/>
  <c r="AG2" i="130"/>
  <c r="AG34" i="130"/>
  <c r="AH34" i="130"/>
  <c r="AN51" i="130"/>
  <c r="AP51" i="130" s="1"/>
  <c r="AJ55" i="130"/>
  <c r="AK55" i="130" s="1"/>
  <c r="AL55" i="130" s="1"/>
  <c r="AH18" i="130"/>
  <c r="AH7" i="130" s="1"/>
  <c r="AH16" i="130"/>
  <c r="AH5" i="130" s="1"/>
  <c r="AV46" i="130"/>
  <c r="AV47" i="130" s="1"/>
  <c r="AV48" i="130" s="1"/>
  <c r="AN47" i="130"/>
  <c r="AP47" i="130" s="1"/>
  <c r="AN55" i="130"/>
  <c r="AP55" i="130" s="1"/>
  <c r="AR55" i="130" s="1"/>
  <c r="AV13" i="130"/>
  <c r="AV14" i="130" s="1"/>
  <c r="AP52" i="130"/>
  <c r="AQ52" i="130" s="1"/>
  <c r="AH25" i="130"/>
  <c r="AM44" i="130"/>
  <c r="BF44" i="130"/>
  <c r="AM52" i="130"/>
  <c r="AM51" i="130"/>
  <c r="AJ51" i="130"/>
  <c r="AK51" i="130" s="1"/>
  <c r="AL51" i="130" s="1"/>
  <c r="AM47" i="130"/>
  <c r="AK12" i="130"/>
  <c r="AL12" i="130" s="1"/>
  <c r="AM12" i="130" s="1"/>
  <c r="AR40" i="130"/>
  <c r="AI12" i="130" s="1"/>
  <c r="AJ12" i="130" s="1"/>
  <c r="AK8" i="130"/>
  <c r="AL8" i="130" s="1"/>
  <c r="AN66" i="130" s="1"/>
  <c r="AN69" i="130"/>
  <c r="AQ30" i="130"/>
  <c r="AL15" i="130"/>
  <c r="AM15" i="130" s="1"/>
  <c r="AI16" i="130"/>
  <c r="AJ50" i="130"/>
  <c r="AK50" i="130" s="1"/>
  <c r="AL50" i="130" s="1"/>
  <c r="BF46" i="130"/>
  <c r="BF50" i="130"/>
  <c r="BF54" i="130"/>
  <c r="AQ27" i="130"/>
  <c r="AQ28" i="130" s="1"/>
  <c r="AN53" i="130"/>
  <c r="AP53" i="130" s="1"/>
  <c r="AJ45" i="130"/>
  <c r="AK45" i="130" s="1"/>
  <c r="AL45" i="130" s="1"/>
  <c r="BF45" i="130"/>
  <c r="AN45" i="130"/>
  <c r="AP45" i="130" s="1"/>
  <c r="AJ54" i="130"/>
  <c r="AK54" i="130" s="1"/>
  <c r="AL54" i="130" s="1"/>
  <c r="AM46" i="130"/>
  <c r="AM45" i="130"/>
  <c r="BF53" i="130"/>
  <c r="AI56" i="130"/>
  <c r="AI57" i="130" s="1"/>
  <c r="AN50" i="130"/>
  <c r="AP50" i="130" s="1"/>
  <c r="AM53" i="130"/>
  <c r="AK2" i="130"/>
  <c r="AL2" i="130" s="1"/>
  <c r="AN60" i="130" s="1"/>
  <c r="AR30" i="130"/>
  <c r="AK10" i="130"/>
  <c r="AL10" i="130" s="1"/>
  <c r="AM10" i="130" s="1"/>
  <c r="AO10" i="130" s="1"/>
  <c r="AR32" i="130"/>
  <c r="AJ62" i="130" s="1"/>
  <c r="AK6" i="130"/>
  <c r="AL6" i="130" s="1"/>
  <c r="AM6" i="130" s="1"/>
  <c r="AR39" i="130"/>
  <c r="AW13" i="130"/>
  <c r="AR33" i="130"/>
  <c r="AI5" i="130" s="1"/>
  <c r="AJ5" i="130" s="1"/>
  <c r="AK5" i="130"/>
  <c r="AL5" i="130" s="1"/>
  <c r="AN63" i="130" s="1"/>
  <c r="AR37" i="130"/>
  <c r="AI9" i="130" s="1"/>
  <c r="AJ9" i="130" s="1"/>
  <c r="AK9" i="130"/>
  <c r="AY27" i="130"/>
  <c r="AY28" i="130" s="1"/>
  <c r="AM11" i="130"/>
  <c r="AO11" i="130" s="1"/>
  <c r="AL3" i="130"/>
  <c r="AN61" i="130" s="1"/>
  <c r="AJ68" i="130"/>
  <c r="AK7" i="130"/>
  <c r="AL7" i="130" s="1"/>
  <c r="AM7" i="130" s="1"/>
  <c r="AR31" i="130"/>
  <c r="AR29" i="130"/>
  <c r="AJ59" i="130" s="1"/>
  <c r="D27" i="130"/>
  <c r="D28" i="130" s="1"/>
  <c r="BB27" i="130"/>
  <c r="BB28" i="130" s="1"/>
  <c r="AG33" i="130"/>
  <c r="AH33" i="130"/>
  <c r="AO56" i="130"/>
  <c r="AO57" i="130" s="1"/>
  <c r="AX56" i="130"/>
  <c r="AX57" i="130" s="1"/>
  <c r="AM1" i="130"/>
  <c r="AL4" i="130"/>
  <c r="AN62" i="130" s="1"/>
  <c r="AK46" i="130"/>
  <c r="AL46" i="130" s="1"/>
  <c r="BA27" i="130"/>
  <c r="BA28" i="130" s="1"/>
  <c r="AI8" i="130"/>
  <c r="AJ8" i="130" s="1"/>
  <c r="AN44" i="130"/>
  <c r="AK44" i="130"/>
  <c r="AJ52" i="130"/>
  <c r="AJ48" i="130"/>
  <c r="AK53" i="130"/>
  <c r="AL53" i="130" s="1"/>
  <c r="AM49" i="130"/>
  <c r="AI7" i="130"/>
  <c r="AJ7" i="130" s="1"/>
  <c r="AN54" i="130"/>
  <c r="AP54" i="130" s="1"/>
  <c r="AN46" i="130"/>
  <c r="AP46" i="130" s="1"/>
  <c r="AN49" i="130"/>
  <c r="AP49" i="130" s="1"/>
  <c r="AJ64" i="130" l="1"/>
  <c r="AK49" i="130"/>
  <c r="AL49" i="130" s="1"/>
  <c r="AH26" i="130"/>
  <c r="AH27" i="130" s="1"/>
  <c r="AG26" i="130"/>
  <c r="AG27" i="130" s="1"/>
  <c r="AH19" i="130"/>
  <c r="AH20" i="130" s="1"/>
  <c r="AG19" i="130"/>
  <c r="AG20" i="130" s="1"/>
  <c r="AR48" i="130"/>
  <c r="AW48" i="130" s="1"/>
  <c r="AY48" i="130" s="1"/>
  <c r="AJ70" i="130"/>
  <c r="AQ51" i="130"/>
  <c r="AR51" i="130"/>
  <c r="AD8" i="130"/>
  <c r="AC8" i="130" s="1"/>
  <c r="AN70" i="130"/>
  <c r="AM8" i="130"/>
  <c r="AO8" i="130" s="1"/>
  <c r="AJ69" i="130"/>
  <c r="AR52" i="130"/>
  <c r="AW52" i="130" s="1"/>
  <c r="AY52" i="130" s="1"/>
  <c r="AQ47" i="130"/>
  <c r="AR47" i="130"/>
  <c r="AQ55" i="130"/>
  <c r="AW55" i="130" s="1"/>
  <c r="AY55" i="130" s="1"/>
  <c r="AN64" i="130"/>
  <c r="AM56" i="130"/>
  <c r="AM57" i="130" s="1"/>
  <c r="AJ65" i="130"/>
  <c r="AJ66" i="130"/>
  <c r="AR45" i="130"/>
  <c r="AQ45" i="130"/>
  <c r="AI11" i="130"/>
  <c r="AJ11" i="130" s="1"/>
  <c r="AI2" i="130"/>
  <c r="AJ2" i="130" s="1"/>
  <c r="AJ60" i="130"/>
  <c r="AN11" i="130"/>
  <c r="AP11" i="130" s="1"/>
  <c r="AI3" i="130"/>
  <c r="AJ3" i="130" s="1"/>
  <c r="AJ61" i="130"/>
  <c r="AI4" i="130"/>
  <c r="AJ4" i="130" s="1"/>
  <c r="AR41" i="130"/>
  <c r="AR42" i="130" s="1"/>
  <c r="AJ16" i="130"/>
  <c r="AK16" i="130" s="1"/>
  <c r="BF56" i="130"/>
  <c r="BF57" i="130" s="1"/>
  <c r="AQ50" i="130"/>
  <c r="AR50" i="130"/>
  <c r="AQ53" i="130"/>
  <c r="AR53" i="130"/>
  <c r="AN68" i="130"/>
  <c r="AN10" i="130"/>
  <c r="AP10" i="130" s="1"/>
  <c r="AQ10" i="130" s="1"/>
  <c r="AM5" i="130"/>
  <c r="AO5" i="130" s="1"/>
  <c r="AK13" i="130"/>
  <c r="AK14" i="130" s="1"/>
  <c r="AI1" i="130"/>
  <c r="AJ1" i="130" s="1"/>
  <c r="AN12" i="130"/>
  <c r="AO12" i="130"/>
  <c r="AL9" i="130"/>
  <c r="AN67" i="130" s="1"/>
  <c r="AM3" i="130"/>
  <c r="AR46" i="130"/>
  <c r="AQ46" i="130"/>
  <c r="AN56" i="130"/>
  <c r="AN57" i="130" s="1"/>
  <c r="AP44" i="130"/>
  <c r="AM4" i="130"/>
  <c r="AN65" i="130"/>
  <c r="AO6" i="130"/>
  <c r="AN6" i="130"/>
  <c r="AR49" i="130"/>
  <c r="AQ49" i="130"/>
  <c r="AL44" i="130"/>
  <c r="AQ54" i="130"/>
  <c r="AR54" i="130"/>
  <c r="AK48" i="130"/>
  <c r="AL48" i="130" s="1"/>
  <c r="AJ63" i="130"/>
  <c r="AN7" i="130"/>
  <c r="AO7" i="130"/>
  <c r="AK52" i="130"/>
  <c r="AL52" i="130" s="1"/>
  <c r="AJ67" i="130"/>
  <c r="AO1" i="130"/>
  <c r="AN1" i="130"/>
  <c r="AM2" i="130"/>
  <c r="AJ56" i="130"/>
  <c r="AJ57" i="130" s="1"/>
  <c r="AQ29" i="130"/>
  <c r="AT30" i="130"/>
  <c r="AT29" i="130"/>
  <c r="BG48" i="130" l="1"/>
  <c r="BG51" i="130"/>
  <c r="BG52" i="130"/>
  <c r="AN8" i="130"/>
  <c r="AP8" i="130" s="1"/>
  <c r="AQ8" i="130" s="1"/>
  <c r="BG55" i="130"/>
  <c r="BG45" i="130"/>
  <c r="AW51" i="130"/>
  <c r="AY51" i="130" s="1"/>
  <c r="AW45" i="130"/>
  <c r="AY45" i="130" s="1"/>
  <c r="AW50" i="130"/>
  <c r="AY50" i="130" s="1"/>
  <c r="BG47" i="130"/>
  <c r="AW47" i="130"/>
  <c r="AY47" i="130" s="1"/>
  <c r="AL16" i="130"/>
  <c r="BG50" i="130"/>
  <c r="AR10" i="130"/>
  <c r="AI13" i="130"/>
  <c r="AI14" i="130" s="1"/>
  <c r="AW46" i="130"/>
  <c r="AY46" i="130" s="1"/>
  <c r="BG53" i="130"/>
  <c r="AI17" i="130"/>
  <c r="AN5" i="130"/>
  <c r="AP5" i="130" s="1"/>
  <c r="AQ5" i="130" s="1"/>
  <c r="AW53" i="130"/>
  <c r="AY53" i="130" s="1"/>
  <c r="AK56" i="130"/>
  <c r="AK57" i="130" s="1"/>
  <c r="BG46" i="130"/>
  <c r="AW49" i="130"/>
  <c r="AY49" i="130" s="1"/>
  <c r="AJ13" i="130"/>
  <c r="AJ14" i="130" s="1"/>
  <c r="AJ71" i="130"/>
  <c r="AJ72" i="130" s="1"/>
  <c r="AL13" i="130"/>
  <c r="AL14" i="130" s="1"/>
  <c r="AN3" i="130"/>
  <c r="AO3" i="130"/>
  <c r="AP12" i="130"/>
  <c r="AP6" i="130"/>
  <c r="AQ6" i="130" s="1"/>
  <c r="AM9" i="130"/>
  <c r="AM13" i="130" s="1"/>
  <c r="AM14" i="130" s="1"/>
  <c r="AO4" i="130"/>
  <c r="AN4" i="130"/>
  <c r="AR44" i="130"/>
  <c r="AR56" i="130" s="1"/>
  <c r="AR57" i="130" s="1"/>
  <c r="AP56" i="130"/>
  <c r="AP57" i="130" s="1"/>
  <c r="AQ44" i="130"/>
  <c r="AP7" i="130"/>
  <c r="AO2" i="130"/>
  <c r="AN2" i="130"/>
  <c r="AW54" i="130"/>
  <c r="AY54" i="130" s="1"/>
  <c r="BG54" i="130"/>
  <c r="AP1" i="130"/>
  <c r="AQ11" i="130"/>
  <c r="BG49" i="130"/>
  <c r="AL56" i="130"/>
  <c r="AL57" i="130" s="1"/>
  <c r="AM16" i="130" l="1"/>
  <c r="AJ17" i="130"/>
  <c r="AK17" i="130" s="1"/>
  <c r="BG44" i="130"/>
  <c r="BG56" i="130" s="1"/>
  <c r="BG57" i="130" s="1"/>
  <c r="AP3" i="130"/>
  <c r="AQ3" i="130" s="1"/>
  <c r="AQ12" i="130"/>
  <c r="AR11" i="130"/>
  <c r="AO9" i="130"/>
  <c r="AO13" i="130" s="1"/>
  <c r="AO14" i="130" s="1"/>
  <c r="AN9" i="130"/>
  <c r="AN13" i="130" s="1"/>
  <c r="AN14" i="130" s="1"/>
  <c r="AW44" i="130"/>
  <c r="AQ56" i="130"/>
  <c r="AQ57" i="130" s="1"/>
  <c r="AR6" i="130"/>
  <c r="AQ1" i="130"/>
  <c r="AR8" i="130"/>
  <c r="AP2" i="130"/>
  <c r="AQ7" i="130"/>
  <c r="AR5" i="130"/>
  <c r="AP4" i="130"/>
  <c r="AL17" i="130" l="1"/>
  <c r="AI18" i="130"/>
  <c r="AJ18" i="130" s="1"/>
  <c r="AK18" i="130" s="1"/>
  <c r="AR3" i="130"/>
  <c r="AR7" i="130"/>
  <c r="AP9" i="130"/>
  <c r="AP13" i="130" s="1"/>
  <c r="AP14" i="130" s="1"/>
  <c r="AR12" i="130"/>
  <c r="AR1" i="130"/>
  <c r="AW56" i="130"/>
  <c r="AW57" i="130" s="1"/>
  <c r="AY44" i="130"/>
  <c r="AQ2" i="130"/>
  <c r="AS60" i="130" s="1"/>
  <c r="AQ4" i="130"/>
  <c r="AM17" i="130" l="1"/>
  <c r="AL18" i="130"/>
  <c r="AI19" i="130"/>
  <c r="AJ19" i="130" s="1"/>
  <c r="AK19" i="130" s="1"/>
  <c r="AQ9" i="130"/>
  <c r="AR9" i="130" s="1"/>
  <c r="AR4" i="130"/>
  <c r="AR2" i="130"/>
  <c r="AZ47" i="130"/>
  <c r="BA47" i="130" s="1"/>
  <c r="AZ44" i="130"/>
  <c r="BA44" i="130" s="1"/>
  <c r="BB44" i="130" s="1"/>
  <c r="BC44" i="130" s="1"/>
  <c r="BE44" i="130" s="1"/>
  <c r="AZ49" i="130"/>
  <c r="BA49" i="130" s="1"/>
  <c r="AZ46" i="130"/>
  <c r="BA46" i="130" s="1"/>
  <c r="AZ54" i="130"/>
  <c r="BA54" i="130" s="1"/>
  <c r="AZ51" i="130"/>
  <c r="BA51" i="130" s="1"/>
  <c r="AY56" i="130"/>
  <c r="AY57" i="130" s="1"/>
  <c r="AZ45" i="130"/>
  <c r="BA45" i="130" s="1"/>
  <c r="AZ50" i="130"/>
  <c r="BA50" i="130" s="1"/>
  <c r="AZ48" i="130"/>
  <c r="BA48" i="130" s="1"/>
  <c r="AZ53" i="130"/>
  <c r="BA53" i="130" s="1"/>
  <c r="AZ52" i="130"/>
  <c r="BA52" i="130" s="1"/>
  <c r="AZ55" i="130"/>
  <c r="BA55" i="130" s="1"/>
  <c r="BB54" i="130" l="1"/>
  <c r="BC54" i="130" s="1"/>
  <c r="BB47" i="130"/>
  <c r="BC47" i="130" s="1"/>
  <c r="AI20" i="130"/>
  <c r="AJ20" i="130" s="1"/>
  <c r="AK20" i="130" s="1"/>
  <c r="AL19" i="130"/>
  <c r="AM19" i="130" s="1"/>
  <c r="BB51" i="130"/>
  <c r="BC51" i="130" s="1"/>
  <c r="BE51" i="130" s="1"/>
  <c r="BB48" i="130"/>
  <c r="BC48" i="130" s="1"/>
  <c r="BE48" i="130" s="1"/>
  <c r="BB55" i="130"/>
  <c r="BC55" i="130" s="1"/>
  <c r="BE55" i="130" s="1"/>
  <c r="BB50" i="130"/>
  <c r="BC50" i="130" s="1"/>
  <c r="BE50" i="130" s="1"/>
  <c r="AM18" i="130"/>
  <c r="BD44" i="130"/>
  <c r="BB53" i="130"/>
  <c r="BC53" i="130" s="1"/>
  <c r="BD53" i="130" s="1"/>
  <c r="AQ13" i="130"/>
  <c r="AQ14" i="130" s="1"/>
  <c r="BB52" i="130"/>
  <c r="BC52" i="130" s="1"/>
  <c r="BB45" i="130"/>
  <c r="BC45" i="130" s="1"/>
  <c r="BB46" i="130"/>
  <c r="BC46" i="130" s="1"/>
  <c r="AR13" i="130"/>
  <c r="AR14" i="130" s="1"/>
  <c r="BB49" i="130"/>
  <c r="BC49" i="130" s="1"/>
  <c r="BD54" i="130" l="1"/>
  <c r="BE54" i="130"/>
  <c r="BE47" i="130"/>
  <c r="BD47" i="130"/>
  <c r="BD50" i="130"/>
  <c r="BD51" i="130"/>
  <c r="BD55" i="130"/>
  <c r="BD48" i="130"/>
  <c r="AL20" i="130"/>
  <c r="BE53" i="130"/>
  <c r="BE49" i="130"/>
  <c r="BD49" i="130"/>
  <c r="BE46" i="130"/>
  <c r="BD46" i="130"/>
  <c r="BE45" i="130"/>
  <c r="BD45" i="130"/>
  <c r="AI21" i="130"/>
  <c r="BE52" i="130"/>
  <c r="BD52" i="130"/>
  <c r="BD56" i="130" l="1"/>
  <c r="BD57" i="130" s="1"/>
  <c r="AJ21" i="130"/>
  <c r="AK21" i="130" s="1"/>
  <c r="AM20" i="130"/>
  <c r="AI22" i="130" l="1"/>
  <c r="AL21" i="130"/>
  <c r="AJ22" i="130" l="1"/>
  <c r="AK22" i="130" s="1"/>
  <c r="AM21" i="130"/>
  <c r="AL22" i="130" l="1"/>
  <c r="AI23" i="130"/>
  <c r="AJ23" i="130" l="1"/>
  <c r="AK23" i="130" s="1"/>
  <c r="AM22" i="130"/>
  <c r="AL23" i="130" l="1"/>
  <c r="AI24" i="130"/>
  <c r="AM23" i="130" l="1"/>
  <c r="AJ24" i="130"/>
  <c r="AK24" i="130" s="1"/>
  <c r="AI25" i="130" l="1"/>
  <c r="AL24" i="130"/>
  <c r="AM24" i="130" l="1"/>
  <c r="AJ25" i="130"/>
  <c r="AK25" i="130" s="1"/>
  <c r="AI26" i="130" l="1"/>
  <c r="AL25" i="130"/>
  <c r="AJ26" i="130" l="1"/>
  <c r="AK26" i="130" s="1"/>
  <c r="AM25" i="130"/>
  <c r="AK27" i="130" l="1"/>
  <c r="AL26" i="130"/>
  <c r="AL27" i="130" s="1"/>
  <c r="AM26" i="130" l="1"/>
  <c r="AM27" i="130" s="1"/>
  <c r="AN41" i="130"/>
  <c r="AN42" i="130" s="1"/>
  <c r="AD11" i="130" l="1"/>
  <c r="AC11" i="130" s="1"/>
  <c r="AN59" i="130"/>
  <c r="AN71" i="130" s="1"/>
  <c r="AN72" i="130" s="1"/>
  <c r="AS59" i="130"/>
  <c r="AM41" i="130"/>
  <c r="AM42" i="130" s="1"/>
  <c r="AW21" i="130" l="1"/>
  <c r="AQ35" i="130"/>
  <c r="AS65" i="130" s="1"/>
  <c r="AQ37" i="130"/>
  <c r="AS67" i="130" s="1"/>
  <c r="AW23" i="130"/>
  <c r="AW19" i="130"/>
  <c r="AW20" i="130"/>
  <c r="AQ34" i="130"/>
  <c r="AS64" i="130" s="1"/>
  <c r="AW22" i="130"/>
  <c r="AQ36" i="130"/>
  <c r="AS66" i="130" s="1"/>
  <c r="AW17" i="130"/>
  <c r="AW18" i="130"/>
  <c r="AQ32" i="130"/>
  <c r="AS62" i="130" s="1"/>
  <c r="AQ33" i="130"/>
  <c r="AS63" i="130" s="1"/>
  <c r="O27" i="130" l="1"/>
  <c r="O28" i="130" s="1"/>
  <c r="AT37" i="130"/>
  <c r="C27" i="130"/>
  <c r="C28" i="130" s="1"/>
  <c r="AW24" i="130"/>
  <c r="AQ39" i="130"/>
  <c r="AS69" i="130" s="1"/>
  <c r="AW25" i="130"/>
  <c r="AQ40" i="130"/>
  <c r="AS70" i="130" s="1"/>
  <c r="AW26" i="130"/>
  <c r="AY6" i="130"/>
  <c r="AT33" i="130"/>
  <c r="AY9" i="130"/>
  <c r="AT35" i="130"/>
  <c r="AT36" i="130"/>
  <c r="AT34" i="130"/>
  <c r="AT31" i="130"/>
  <c r="AY3" i="130"/>
  <c r="AQ31" i="130"/>
  <c r="AT32" i="130"/>
  <c r="AT40" i="130" l="1"/>
  <c r="AW27" i="130"/>
  <c r="AW28" i="130" s="1"/>
  <c r="AU27" i="130"/>
  <c r="AU28" i="130" s="1"/>
  <c r="AN27" i="130"/>
  <c r="AN28" i="130" s="1"/>
  <c r="AT27" i="130"/>
  <c r="AT28" i="130" s="1"/>
  <c r="AT39" i="130"/>
  <c r="AQ38" i="130"/>
  <c r="AP41" i="130"/>
  <c r="AP42" i="130" s="1"/>
  <c r="AY12" i="130"/>
  <c r="AY13" i="130" s="1"/>
  <c r="AY14" i="130" s="1"/>
  <c r="AX13" i="130"/>
  <c r="AX14" i="130" s="1"/>
  <c r="AS27" i="130"/>
  <c r="AS28" i="130" s="1"/>
  <c r="AT38" i="130"/>
  <c r="AS61" i="130"/>
  <c r="AD12" i="130" l="1"/>
  <c r="AC12" i="130" s="1"/>
  <c r="AT41" i="130"/>
  <c r="AT42" i="130" s="1"/>
  <c r="AS68" i="130"/>
  <c r="AS71" i="130" s="1"/>
  <c r="AS72" i="130" s="1"/>
  <c r="AQ41" i="130"/>
  <c r="AQ42" i="130" s="1"/>
  <c r="AC1" i="130" l="1"/>
  <c r="AD1" i="130"/>
  <c r="AS1" i="130"/>
  <c r="AU1" i="130"/>
  <c r="AZ1" i="130"/>
  <c r="AC2" i="130"/>
  <c r="AD2" i="130"/>
  <c r="AS2" i="130"/>
  <c r="AU2" i="130"/>
  <c r="AZ2" i="130"/>
  <c r="AC3" i="130"/>
  <c r="AD3" i="130"/>
  <c r="AS3" i="130"/>
  <c r="AU3" i="130"/>
  <c r="AZ3" i="130"/>
  <c r="AC4" i="130"/>
  <c r="AD4" i="130"/>
  <c r="AS4" i="130"/>
  <c r="AU4" i="130"/>
  <c r="AZ4" i="130"/>
  <c r="AC5" i="130"/>
  <c r="AD5" i="130"/>
  <c r="AS5" i="130"/>
  <c r="AU5" i="130"/>
  <c r="AZ5" i="130"/>
  <c r="AC6" i="130"/>
  <c r="AD6" i="130"/>
  <c r="AS6" i="130"/>
  <c r="AU6" i="130"/>
  <c r="AZ6" i="130"/>
  <c r="AC7" i="130"/>
  <c r="AD7" i="130"/>
  <c r="AS7" i="130"/>
  <c r="AU7" i="130"/>
  <c r="AZ7" i="130"/>
  <c r="AS8" i="130"/>
  <c r="AU8" i="130"/>
  <c r="AZ8" i="130"/>
  <c r="AC9" i="130"/>
  <c r="AD9" i="130"/>
  <c r="AS9" i="130"/>
  <c r="AU9" i="130"/>
  <c r="AZ9" i="130"/>
  <c r="AC10" i="130"/>
  <c r="AD10" i="130"/>
  <c r="AS10" i="130"/>
  <c r="AU10" i="130"/>
  <c r="AZ10" i="130"/>
  <c r="AS11" i="130"/>
  <c r="AU11" i="130"/>
  <c r="AZ11" i="130"/>
  <c r="AS12" i="130"/>
  <c r="AU12" i="130"/>
  <c r="AZ12" i="130"/>
  <c r="AC13" i="130"/>
  <c r="AD13" i="130"/>
  <c r="AS13" i="130"/>
  <c r="AU13" i="130"/>
  <c r="AZ13" i="130"/>
  <c r="AC14" i="130"/>
  <c r="AD14" i="130"/>
  <c r="AS14" i="130"/>
  <c r="AU14" i="130"/>
  <c r="AZ14" i="130"/>
  <c r="A15" i="130"/>
  <c r="K15" i="130"/>
  <c r="L15" i="130"/>
  <c r="M15" i="130"/>
  <c r="N15" i="130"/>
  <c r="P15" i="130"/>
  <c r="Q15" i="130"/>
  <c r="R15" i="130"/>
  <c r="S15" i="130"/>
  <c r="T15" i="130"/>
  <c r="AC15" i="130"/>
  <c r="AD15" i="130"/>
  <c r="AO15" i="130"/>
  <c r="AR15" i="130"/>
  <c r="AX15" i="130"/>
  <c r="AZ15" i="130"/>
  <c r="A16" i="130"/>
  <c r="K16" i="130"/>
  <c r="L16" i="130"/>
  <c r="M16" i="130"/>
  <c r="N16" i="130"/>
  <c r="P16" i="130"/>
  <c r="Q16" i="130"/>
  <c r="R16" i="130"/>
  <c r="S16" i="130"/>
  <c r="T16" i="130"/>
  <c r="AC16" i="130"/>
  <c r="AD16" i="130"/>
  <c r="AO16" i="130"/>
  <c r="AR16" i="130"/>
  <c r="AX16" i="130"/>
  <c r="AZ16" i="130"/>
  <c r="A17" i="130"/>
  <c r="K17" i="130"/>
  <c r="L17" i="130"/>
  <c r="M17" i="130"/>
  <c r="N17" i="130"/>
  <c r="P17" i="130"/>
  <c r="Q17" i="130"/>
  <c r="R17" i="130"/>
  <c r="S17" i="130"/>
  <c r="T17" i="130"/>
  <c r="AC17" i="130"/>
  <c r="AD17" i="130"/>
  <c r="AO17" i="130"/>
  <c r="AR17" i="130"/>
  <c r="AX17" i="130"/>
  <c r="AZ17" i="130"/>
  <c r="A18" i="130"/>
  <c r="K18" i="130"/>
  <c r="L18" i="130"/>
  <c r="M18" i="130"/>
  <c r="N18" i="130"/>
  <c r="P18" i="130"/>
  <c r="Q18" i="130"/>
  <c r="R18" i="130"/>
  <c r="S18" i="130"/>
  <c r="T18" i="130"/>
  <c r="AC18" i="130"/>
  <c r="AD18" i="130"/>
  <c r="AO18" i="130"/>
  <c r="AR18" i="130"/>
  <c r="AX18" i="130"/>
  <c r="AZ18" i="130"/>
  <c r="A19" i="130"/>
  <c r="K19" i="130"/>
  <c r="L19" i="130"/>
  <c r="M19" i="130"/>
  <c r="N19" i="130"/>
  <c r="P19" i="130"/>
  <c r="Q19" i="130"/>
  <c r="R19" i="130"/>
  <c r="S19" i="130"/>
  <c r="T19" i="130"/>
  <c r="AC19" i="130"/>
  <c r="AD19" i="130"/>
  <c r="AO19" i="130"/>
  <c r="AR19" i="130"/>
  <c r="AX19" i="130"/>
  <c r="AZ19" i="130"/>
  <c r="A20" i="130"/>
  <c r="K20" i="130"/>
  <c r="L20" i="130"/>
  <c r="M20" i="130"/>
  <c r="N20" i="130"/>
  <c r="P20" i="130"/>
  <c r="Q20" i="130"/>
  <c r="R20" i="130"/>
  <c r="S20" i="130"/>
  <c r="T20" i="130"/>
  <c r="AC20" i="130"/>
  <c r="AD20" i="130"/>
  <c r="AO20" i="130"/>
  <c r="AR20" i="130"/>
  <c r="AX20" i="130"/>
  <c r="AZ20" i="130"/>
  <c r="A21" i="130"/>
  <c r="K21" i="130"/>
  <c r="L21" i="130"/>
  <c r="M21" i="130"/>
  <c r="N21" i="130"/>
  <c r="P21" i="130"/>
  <c r="Q21" i="130"/>
  <c r="R21" i="130"/>
  <c r="S21" i="130"/>
  <c r="T21" i="130"/>
  <c r="AO21" i="130"/>
  <c r="AR21" i="130"/>
  <c r="AX21" i="130"/>
  <c r="AZ21" i="130"/>
  <c r="A22" i="130"/>
  <c r="K22" i="130"/>
  <c r="L22" i="130"/>
  <c r="M22" i="130"/>
  <c r="N22" i="130"/>
  <c r="P22" i="130"/>
  <c r="Q22" i="130"/>
  <c r="R22" i="130"/>
  <c r="S22" i="130"/>
  <c r="T22" i="130"/>
  <c r="AO22" i="130"/>
  <c r="AR22" i="130"/>
  <c r="AX22" i="130"/>
  <c r="AZ22" i="130"/>
  <c r="A23" i="130"/>
  <c r="K23" i="130"/>
  <c r="L23" i="130"/>
  <c r="M23" i="130"/>
  <c r="N23" i="130"/>
  <c r="P23" i="130"/>
  <c r="Q23" i="130"/>
  <c r="R23" i="130"/>
  <c r="S23" i="130"/>
  <c r="T23" i="130"/>
  <c r="AO23" i="130"/>
  <c r="AR23" i="130"/>
  <c r="AX23" i="130"/>
  <c r="AZ23" i="130"/>
  <c r="A24" i="130"/>
  <c r="K24" i="130"/>
  <c r="L24" i="130"/>
  <c r="M24" i="130"/>
  <c r="N24" i="130"/>
  <c r="P24" i="130"/>
  <c r="Q24" i="130"/>
  <c r="R24" i="130"/>
  <c r="S24" i="130"/>
  <c r="T24" i="130"/>
  <c r="AO24" i="130"/>
  <c r="AR24" i="130"/>
  <c r="AX24" i="130"/>
  <c r="AZ24" i="130"/>
  <c r="A25" i="130"/>
  <c r="K25" i="130"/>
  <c r="L25" i="130"/>
  <c r="M25" i="130"/>
  <c r="N25" i="130"/>
  <c r="P25" i="130"/>
  <c r="Q25" i="130"/>
  <c r="R25" i="130"/>
  <c r="S25" i="130"/>
  <c r="T25" i="130"/>
  <c r="AO25" i="130"/>
  <c r="AR25" i="130"/>
  <c r="AX25" i="130"/>
  <c r="AZ25" i="130"/>
  <c r="A26" i="130"/>
  <c r="K26" i="130"/>
  <c r="L26" i="130"/>
  <c r="M26" i="130"/>
  <c r="N26" i="130"/>
  <c r="P26" i="130"/>
  <c r="Q26" i="130"/>
  <c r="R26" i="130"/>
  <c r="S26" i="130"/>
  <c r="T26" i="130"/>
  <c r="AO26" i="130"/>
  <c r="AR26" i="130"/>
  <c r="AX26" i="130"/>
  <c r="AZ26" i="130"/>
  <c r="K27" i="130"/>
  <c r="L27" i="130"/>
  <c r="M27" i="130"/>
  <c r="N27" i="130"/>
  <c r="P27" i="130"/>
  <c r="Q27" i="130"/>
  <c r="R27" i="130"/>
  <c r="S27" i="130"/>
  <c r="T27" i="130"/>
  <c r="AO27" i="130"/>
  <c r="AR27" i="130"/>
  <c r="AX27" i="130"/>
  <c r="AZ27" i="130"/>
  <c r="A28" i="130"/>
  <c r="K28" i="130"/>
  <c r="L28" i="130"/>
  <c r="M28" i="130"/>
  <c r="N28" i="130"/>
  <c r="P28" i="130"/>
  <c r="Q28" i="130"/>
  <c r="R28" i="130"/>
  <c r="S28" i="130"/>
  <c r="T28" i="130"/>
  <c r="AO28" i="130"/>
  <c r="AR28" i="130"/>
  <c r="AX28" i="130"/>
  <c r="AZ28" i="130"/>
  <c r="AL29" i="130"/>
  <c r="AS29" i="130"/>
  <c r="AU29" i="130"/>
  <c r="AV29" i="130"/>
  <c r="AW29" i="130"/>
  <c r="AX29" i="130"/>
  <c r="AY29" i="130"/>
  <c r="AZ29" i="130"/>
  <c r="AL30" i="130"/>
  <c r="AS30" i="130"/>
  <c r="AU30" i="130"/>
  <c r="AV30" i="130"/>
  <c r="AW30" i="130"/>
  <c r="AX30" i="130"/>
  <c r="AY30" i="130"/>
  <c r="AZ30" i="130"/>
  <c r="AL31" i="130"/>
  <c r="AS31" i="130"/>
  <c r="AU31" i="130"/>
  <c r="AV31" i="130"/>
  <c r="AW31" i="130"/>
  <c r="AX31" i="130"/>
  <c r="AY31" i="130"/>
  <c r="AZ31" i="130"/>
  <c r="AL32" i="130"/>
  <c r="AS32" i="130"/>
  <c r="AU32" i="130"/>
  <c r="AV32" i="130"/>
  <c r="AW32" i="130"/>
  <c r="AX32" i="130"/>
  <c r="AY32" i="130"/>
  <c r="AZ32" i="130"/>
  <c r="AL33" i="130"/>
  <c r="AS33" i="130"/>
  <c r="AU33" i="130"/>
  <c r="AV33" i="130"/>
  <c r="AW33" i="130"/>
  <c r="AX33" i="130"/>
  <c r="AY33" i="130"/>
  <c r="AZ33" i="130"/>
  <c r="AL34" i="130"/>
  <c r="AS34" i="130"/>
  <c r="AU34" i="130"/>
  <c r="AV34" i="130"/>
  <c r="AW34" i="130"/>
  <c r="AX34" i="130"/>
  <c r="AY34" i="130"/>
  <c r="AZ34" i="130"/>
  <c r="AL35" i="130"/>
  <c r="AS35" i="130"/>
  <c r="AU35" i="130"/>
  <c r="AV35" i="130"/>
  <c r="AW35" i="130"/>
  <c r="AX35" i="130"/>
  <c r="AY35" i="130"/>
  <c r="AZ35" i="130"/>
  <c r="AL36" i="130"/>
  <c r="AS36" i="130"/>
  <c r="AU36" i="130"/>
  <c r="AV36" i="130"/>
  <c r="AW36" i="130"/>
  <c r="AX36" i="130"/>
  <c r="AY36" i="130"/>
  <c r="AZ36" i="130"/>
  <c r="AL37" i="130"/>
  <c r="AS37" i="130"/>
  <c r="AU37" i="130"/>
  <c r="AV37" i="130"/>
  <c r="AW37" i="130"/>
  <c r="AX37" i="130"/>
  <c r="AY37" i="130"/>
  <c r="AZ37" i="130"/>
  <c r="AL38" i="130"/>
  <c r="AS38" i="130"/>
  <c r="AU38" i="130"/>
  <c r="AV38" i="130"/>
  <c r="AW38" i="130"/>
  <c r="AX38" i="130"/>
  <c r="AY38" i="130"/>
  <c r="AZ38" i="130"/>
  <c r="AL39" i="130"/>
  <c r="AS39" i="130"/>
  <c r="AU39" i="130"/>
  <c r="AV39" i="130"/>
  <c r="AW39" i="130"/>
  <c r="AX39" i="130"/>
  <c r="AY39" i="130"/>
  <c r="AZ39" i="130"/>
  <c r="AL40" i="130"/>
  <c r="AS40" i="130"/>
  <c r="AU40" i="130"/>
  <c r="AV40" i="130"/>
  <c r="AW40" i="130"/>
  <c r="AX40" i="130"/>
  <c r="AY40" i="130"/>
  <c r="AZ40" i="130"/>
  <c r="AL41" i="130"/>
  <c r="AS41" i="130"/>
  <c r="AU41" i="130"/>
  <c r="AV41" i="130"/>
  <c r="AW41" i="130"/>
  <c r="AX41" i="130"/>
  <c r="AY41" i="130"/>
  <c r="AZ41" i="130"/>
  <c r="AL42" i="130"/>
  <c r="AS42" i="130"/>
  <c r="AU42" i="130"/>
  <c r="AV42" i="130"/>
  <c r="AW42" i="130"/>
  <c r="AX42" i="130"/>
  <c r="AY42" i="130"/>
  <c r="AZ42" i="130"/>
  <c r="AI59" i="130"/>
  <c r="AK59" i="130"/>
  <c r="AL59" i="130"/>
  <c r="AM59" i="130"/>
  <c r="AO59" i="130"/>
  <c r="AP59" i="130"/>
  <c r="AQ59" i="130"/>
  <c r="AR59" i="130"/>
  <c r="AT59" i="130"/>
  <c r="AU59" i="130"/>
  <c r="AV59" i="130"/>
  <c r="AW59" i="130"/>
  <c r="AX59" i="130"/>
  <c r="AY59" i="130"/>
  <c r="AZ59" i="130"/>
  <c r="BA59" i="130"/>
  <c r="BC59" i="130"/>
  <c r="AI60" i="130"/>
  <c r="AK60" i="130"/>
  <c r="AL60" i="130"/>
  <c r="AM60" i="130"/>
  <c r="AO60" i="130"/>
  <c r="AP60" i="130"/>
  <c r="AQ60" i="130"/>
  <c r="AR60" i="130"/>
  <c r="AT60" i="130"/>
  <c r="AU60" i="130"/>
  <c r="AV60" i="130"/>
  <c r="AW60" i="130"/>
  <c r="AX60" i="130"/>
  <c r="AY60" i="130"/>
  <c r="AZ60" i="130"/>
  <c r="BA60" i="130"/>
  <c r="BC60" i="130"/>
  <c r="AI61" i="130"/>
  <c r="AK61" i="130"/>
  <c r="AL61" i="130"/>
  <c r="AM61" i="130"/>
  <c r="AO61" i="130"/>
  <c r="AP61" i="130"/>
  <c r="AQ61" i="130"/>
  <c r="AR61" i="130"/>
  <c r="AT61" i="130"/>
  <c r="AU61" i="130"/>
  <c r="AV61" i="130"/>
  <c r="AW61" i="130"/>
  <c r="AX61" i="130"/>
  <c r="AY61" i="130"/>
  <c r="AZ61" i="130"/>
  <c r="BA61" i="130"/>
  <c r="BC61" i="130"/>
  <c r="AI62" i="130"/>
  <c r="AK62" i="130"/>
  <c r="AL62" i="130"/>
  <c r="AM62" i="130"/>
  <c r="AO62" i="130"/>
  <c r="AP62" i="130"/>
  <c r="AQ62" i="130"/>
  <c r="AR62" i="130"/>
  <c r="AT62" i="130"/>
  <c r="AU62" i="130"/>
  <c r="AV62" i="130"/>
  <c r="AW62" i="130"/>
  <c r="AX62" i="130"/>
  <c r="AY62" i="130"/>
  <c r="AZ62" i="130"/>
  <c r="BA62" i="130"/>
  <c r="BC62" i="130"/>
  <c r="AI63" i="130"/>
  <c r="AK63" i="130"/>
  <c r="AL63" i="130"/>
  <c r="AM63" i="130"/>
  <c r="AO63" i="130"/>
  <c r="AP63" i="130"/>
  <c r="AQ63" i="130"/>
  <c r="AR63" i="130"/>
  <c r="AT63" i="130"/>
  <c r="AU63" i="130"/>
  <c r="AV63" i="130"/>
  <c r="AW63" i="130"/>
  <c r="AX63" i="130"/>
  <c r="AY63" i="130"/>
  <c r="AZ63" i="130"/>
  <c r="BA63" i="130"/>
  <c r="BC63" i="130"/>
  <c r="AI64" i="130"/>
  <c r="AK64" i="130"/>
  <c r="AL64" i="130"/>
  <c r="AM64" i="130"/>
  <c r="AO64" i="130"/>
  <c r="AP64" i="130"/>
  <c r="AQ64" i="130"/>
  <c r="AR64" i="130"/>
  <c r="AT64" i="130"/>
  <c r="AU64" i="130"/>
  <c r="AV64" i="130"/>
  <c r="AW64" i="130"/>
  <c r="AX64" i="130"/>
  <c r="AY64" i="130"/>
  <c r="AZ64" i="130"/>
  <c r="BA64" i="130"/>
  <c r="BC64" i="130"/>
  <c r="AI65" i="130"/>
  <c r="AK65" i="130"/>
  <c r="AL65" i="130"/>
  <c r="AM65" i="130"/>
  <c r="AO65" i="130"/>
  <c r="AP65" i="130"/>
  <c r="AQ65" i="130"/>
  <c r="AR65" i="130"/>
  <c r="AT65" i="130"/>
  <c r="AU65" i="130"/>
  <c r="AV65" i="130"/>
  <c r="AW65" i="130"/>
  <c r="AX65" i="130"/>
  <c r="AY65" i="130"/>
  <c r="AZ65" i="130"/>
  <c r="BA65" i="130"/>
  <c r="BC65" i="130"/>
  <c r="AI66" i="130"/>
  <c r="AK66" i="130"/>
  <c r="AL66" i="130"/>
  <c r="AM66" i="130"/>
  <c r="AO66" i="130"/>
  <c r="AP66" i="130"/>
  <c r="AQ66" i="130"/>
  <c r="AR66" i="130"/>
  <c r="AT66" i="130"/>
  <c r="AU66" i="130"/>
  <c r="AV66" i="130"/>
  <c r="AW66" i="130"/>
  <c r="AX66" i="130"/>
  <c r="AY66" i="130"/>
  <c r="AZ66" i="130"/>
  <c r="BA66" i="130"/>
  <c r="BC66" i="130"/>
  <c r="AI67" i="130"/>
  <c r="AK67" i="130"/>
  <c r="AL67" i="130"/>
  <c r="AM67" i="130"/>
  <c r="AO67" i="130"/>
  <c r="AP67" i="130"/>
  <c r="AQ67" i="130"/>
  <c r="AR67" i="130"/>
  <c r="AT67" i="130"/>
  <c r="AU67" i="130"/>
  <c r="AV67" i="130"/>
  <c r="AW67" i="130"/>
  <c r="AX67" i="130"/>
  <c r="AY67" i="130"/>
  <c r="AZ67" i="130"/>
  <c r="BA67" i="130"/>
  <c r="BC67" i="130"/>
  <c r="AI68" i="130"/>
  <c r="AK68" i="130"/>
  <c r="AL68" i="130"/>
  <c r="AM68" i="130"/>
  <c r="AO68" i="130"/>
  <c r="AP68" i="130"/>
  <c r="AQ68" i="130"/>
  <c r="AR68" i="130"/>
  <c r="AT68" i="130"/>
  <c r="AU68" i="130"/>
  <c r="AV68" i="130"/>
  <c r="AW68" i="130"/>
  <c r="AX68" i="130"/>
  <c r="AY68" i="130"/>
  <c r="AZ68" i="130"/>
  <c r="BA68" i="130"/>
  <c r="BC68" i="130"/>
  <c r="AI69" i="130"/>
  <c r="AK69" i="130"/>
  <c r="AL69" i="130"/>
  <c r="AM69" i="130"/>
  <c r="AO69" i="130"/>
  <c r="AP69" i="130"/>
  <c r="AQ69" i="130"/>
  <c r="AR69" i="130"/>
  <c r="AT69" i="130"/>
  <c r="AU69" i="130"/>
  <c r="AV69" i="130"/>
  <c r="AW69" i="130"/>
  <c r="AX69" i="130"/>
  <c r="AY69" i="130"/>
  <c r="AZ69" i="130"/>
  <c r="BA69" i="130"/>
  <c r="BC69" i="130"/>
  <c r="AI70" i="130"/>
  <c r="AK70" i="130"/>
  <c r="AL70" i="130"/>
  <c r="AM70" i="130"/>
  <c r="AO70" i="130"/>
  <c r="AP70" i="130"/>
  <c r="AQ70" i="130"/>
  <c r="AR70" i="130"/>
  <c r="AT70" i="130"/>
  <c r="AU70" i="130"/>
  <c r="AV70" i="130"/>
  <c r="AW70" i="130"/>
  <c r="AX70" i="130"/>
  <c r="AY70" i="130"/>
  <c r="AZ70" i="130"/>
  <c r="BA70" i="130"/>
  <c r="BC70" i="130"/>
  <c r="AI71" i="130"/>
  <c r="AK71" i="130"/>
  <c r="AL71" i="130"/>
  <c r="AM71" i="130"/>
  <c r="AO71" i="130"/>
  <c r="AP71" i="130"/>
  <c r="AQ71" i="130"/>
  <c r="AR71" i="130"/>
  <c r="AT71" i="130"/>
  <c r="AX71" i="130"/>
  <c r="AY71" i="130"/>
  <c r="AZ71" i="130"/>
  <c r="AI72" i="130"/>
  <c r="AK72" i="130"/>
  <c r="AL72" i="130"/>
  <c r="AM72" i="130"/>
  <c r="AO72" i="130"/>
  <c r="AP72" i="130"/>
  <c r="AQ72" i="130"/>
  <c r="AR72" i="130"/>
  <c r="AT72" i="130"/>
  <c r="AX72" i="130"/>
  <c r="AY72" i="130"/>
  <c r="AZ72" i="130"/>
</calcChain>
</file>

<file path=xl/sharedStrings.xml><?xml version="1.0" encoding="utf-8"?>
<sst xmlns="http://schemas.openxmlformats.org/spreadsheetml/2006/main" count="612" uniqueCount="98">
  <si>
    <t>-</t>
  </si>
  <si>
    <t>Yok</t>
  </si>
  <si>
    <t>Doğal Afet Yardımı</t>
  </si>
  <si>
    <t>Kıdem Yardımı</t>
  </si>
  <si>
    <t>SGK Prim Kesintisi</t>
  </si>
  <si>
    <t>SGK İşsizlik Primi Kesintisi</t>
  </si>
  <si>
    <t>Yemek Yardımı</t>
  </si>
  <si>
    <t>Sosyal Yardım</t>
  </si>
  <si>
    <t>Evlilik Yardımı</t>
  </si>
  <si>
    <t>Annelik İzni</t>
  </si>
  <si>
    <t>Analık Hâli İzni</t>
  </si>
  <si>
    <t>Babalık İzni</t>
  </si>
  <si>
    <t>Süt İzni</t>
  </si>
  <si>
    <t>Engelli Çocuk İzni</t>
  </si>
  <si>
    <t>Evlat Edinme İzni</t>
  </si>
  <si>
    <t>Doğal Afet İzni</t>
  </si>
  <si>
    <t>Ulaşım Yardımı</t>
  </si>
  <si>
    <t>Normal Çalışma</t>
  </si>
  <si>
    <t>BES Kesintisi</t>
  </si>
  <si>
    <t>Damga Vergisi Kesintisi</t>
  </si>
  <si>
    <t>Gelir Vergisi Kesintisi</t>
  </si>
  <si>
    <t>İkramiye Yardımı</t>
  </si>
  <si>
    <t>İş Kazası veya Meslek Hastalığı Tazminatı</t>
  </si>
  <si>
    <t>Nakdi Yardımlar</t>
  </si>
  <si>
    <t>Sendika Üyelik Aidatı Kesintisi</t>
  </si>
  <si>
    <t>Gıda Yardımı</t>
  </si>
  <si>
    <t>Ücretli Sendikal İzin ve Sendika Temsilci Sayısı</t>
  </si>
  <si>
    <t>İş Arama İzni</t>
  </si>
  <si>
    <t>Ücretli Yıllık İzin</t>
  </si>
  <si>
    <t>Kazançlar</t>
  </si>
  <si>
    <t>Kesintiler</t>
  </si>
  <si>
    <t>Cenaze İzni</t>
  </si>
  <si>
    <t>Evlilik İzni</t>
  </si>
  <si>
    <t>Mazeret İzni</t>
  </si>
  <si>
    <t>Yol İzni</t>
  </si>
  <si>
    <t>a) İşçinin eşinin doğum yapması hâlinde 5 takvim günü ücretli sosyal izin verilir.</t>
  </si>
  <si>
    <t>a) İşçinin ikamet ettiği konutun doğal afet nedeniyle hasara uğraması hâlinde 10 iş günü ücretli sosyal izin verilir.</t>
  </si>
  <si>
    <t>a) İşçinin evlenmesi hâlinde 7 iş günü ücretli sosyal izin verilir.
b) İşçinin çocuğunun evlenmesi hâlinde 0 iş günü ücretli sosyal izin verilir.
c) İşçinin evliliğinde, evlilik izninin hangi şekilde kullanılacağı işçinin talebi doğrultusunda değerlendirilir.</t>
  </si>
  <si>
    <t>a) İşçilere, gerekli ve geçerli mazeretleri hâlinde işverenin takdirine bağlı olarak yılda 6 iş günü ücretli sosyal izin verilir.
b) İşçilere, gerekli ve geçerli mazeretleri hâlinde işverenin takdirine bağlı olarak yılda 6 aya kadar ücretsiz sosyal izin verilebilir. Genel müdürün uygun görmesi hâlinde 12 aya kadar uzatılabilir.</t>
  </si>
  <si>
    <t>Askerlik Yardımı</t>
  </si>
  <si>
    <t>a) İşçinin eşinin veya çocuğunun vefatı hâlinde 5 iş günü ücretli sosyal izin verilir.
b) İşçinin annesinin, babasının veya kardeşinin vefatı hâlinde 5 iş günü ücretli sosyal izin verilir.
c) İşçinin eşinin annesinin, babasının veya kardeşinin vefatı hâlinde 5 iş günü ücretli sosyal izin verilir.
d) İşçinin amcasının, halasının, dayısının, teyzesinin, dedesinin veya ninesinin vefatı hâlinde 0 iş günü ücretli sosyal izin verilir.
e) Cenazenin il dışında olması veya il dışına götürülmesi hâlinde işçinin annesinin, babasının, kardeşinin, eşinin veya çocuğunun cenazesi için ilave 5 iş günü amcasının, halasının, dayısının, teyzesinin, dedesinin veya ninesinin cenazesi için ilave 0 iş günü ücretli sosyal izin verilir.
f) İşçilerden birinin vefatı hâlinde cenaze işlemleri veya katılımı için ihtiyaç kadar işçiye ücretli sosyal izin verilir.
g) Vefat eden kişi birden fazla personelin yakını ise cenaze izni her personele ayrı ayrı verilir.</t>
  </si>
  <si>
    <t>a) Yıllık ücretli izinleri işyerinin kurulu bulunduğu yerden başka bir yerde geçirecek olanlara istemde bulunmaları ve bu hususu belgelemeleri koşulu ile gidiş ve dönüşlerinde yolda geçecek süreleri karşılamak üzere işveren toplam 4 güne kadar ücretsiz yol izni vermek zorundadır.
(Yıllık Ücretli İzin Yönetmeliği / Madde 6)</t>
  </si>
  <si>
    <t>a) 01.01.2009 Tarihinden Önce İşe Başlayanlar İçin:
Hizmeti 6 ay olanlar için 0 iş günü ücretli yıllık izin verilir.
Hizmeti 1-5 yıl olanlar için 14 iş günü ücretli yıllık izin verilir.
Hizmeti 5-10 yıl olanlar için 23 iş günü ücretli yıllık izin verilir.
Hizmeti 10-15 yıl olanlar için 23 iş günü ücretli yıllık izin verilir.
Hizmeti 15 yıldan fazla olanlar için 26 iş günü ücretli yıllık izin verilir.
b) 01.01.2009 Tarihinden Sonra İşe Başlayanlar İçin:
Hizmeti 6 ay olanlar için 0 iş günü ücretli yıllık izin verilir.
Hizmeti 1-5 yıl olanlar için 14 iş günü ücretli yıllık izin verilir.
Hizmeti 5-10 yıl olanlar için 20 iş günü ücretli yıllık izin verilir.
Hizmeti 10-15 yıl olanlar için 20 iş günü ücretli yıllık izin verilir.
Hizmeti 15 yıldan fazla olanlar için 26 iş günü ücretli yıllık izin verilir.</t>
  </si>
  <si>
    <t>Yıllık Ortalama</t>
  </si>
  <si>
    <r>
      <t xml:space="preserve">   </t>
    </r>
    <r>
      <rPr>
        <b/>
        <sz val="16"/>
        <rFont val="Calibri"/>
        <family val="2"/>
        <charset val="162"/>
        <scheme val="minor"/>
      </rPr>
      <t>Net</t>
    </r>
  </si>
  <si>
    <t xml:space="preserve">   Yemek Yardımı</t>
  </si>
  <si>
    <t>Cenaze Yardımı (Anne-Baba)</t>
  </si>
  <si>
    <t>Cenaze Yardımı (Eş-Çocuk)</t>
  </si>
  <si>
    <t>Cenaze Yardımı (İşçi-İş Kazası Sonucu)</t>
  </si>
  <si>
    <t>Cenaze Yardımı (İşçi-Tabii Sebepler Sonucu)</t>
  </si>
  <si>
    <t>Eğitim Yardımı (İşçi-Lise)</t>
  </si>
  <si>
    <t>Eğitim Yardımı (İşçi-Yükseköğretim)</t>
  </si>
  <si>
    <t>Eğitim Yardımı (Çocuk-İlköğretim)</t>
  </si>
  <si>
    <t>Eğitim Yardımı (Çocuk-Ortaöğretim)</t>
  </si>
  <si>
    <t>Eğitim Yardımı (Çocuk-Lise)</t>
  </si>
  <si>
    <t>Eğitim Yardımı (Çocuk-Yükseköğretim)</t>
  </si>
  <si>
    <t xml:space="preserve">   Toplam Kazanç
   Net</t>
  </si>
  <si>
    <t>İşveren Maliyeti</t>
  </si>
  <si>
    <r>
      <t xml:space="preserve">   Sonraki Ayın 1'inde
   </t>
    </r>
    <r>
      <rPr>
        <b/>
        <sz val="16"/>
        <rFont val="Calibri"/>
        <family val="2"/>
        <charset val="162"/>
        <scheme val="minor"/>
      </rPr>
      <t>Net</t>
    </r>
  </si>
  <si>
    <t>a) 3 yaşını doldurmamış çocuğu evlat edinen eşlerden birine veya evlat edinene çocuğun aileye fiilen teslim edildiği tarihten itibaren 8 hafta analık hâli izni kullandırılır.
(4857 sayılı İş Kanunu / Madde 74)</t>
  </si>
  <si>
    <t>Miktar</t>
  </si>
  <si>
    <t xml:space="preserve">   BES Kesintisi</t>
  </si>
  <si>
    <t>Toplam</t>
  </si>
  <si>
    <t>Ortalama</t>
  </si>
  <si>
    <t>Fazla Çalışma (% 50)</t>
  </si>
  <si>
    <t>Fazla Sürelerle Çalışma (% 25)</t>
  </si>
  <si>
    <t>Resmi Tatillerde Çalışma (% 100)</t>
  </si>
  <si>
    <t>Gece Çalışma (% 12)</t>
  </si>
  <si>
    <r>
      <t xml:space="preserve">   Resmi Tatillerde Çalışma
   </t>
    </r>
    <r>
      <rPr>
        <b/>
        <sz val="16"/>
        <rFont val="Calibri"/>
        <family val="2"/>
        <charset val="162"/>
        <scheme val="minor"/>
      </rPr>
      <t>% 100</t>
    </r>
  </si>
  <si>
    <r>
      <t xml:space="preserve">   Sonraki Ayın 15'inde
   Fazla Çalışma (Gündüz-Gece-Resmi Tatil)
   Yemek Yardımı
   </t>
    </r>
    <r>
      <rPr>
        <b/>
        <sz val="16"/>
        <rFont val="Calibri"/>
        <family val="2"/>
        <charset val="162"/>
        <scheme val="minor"/>
      </rPr>
      <t>Net</t>
    </r>
  </si>
  <si>
    <t xml:space="preserve">   Engellilik İndirimi</t>
  </si>
  <si>
    <t>Ocak</t>
  </si>
  <si>
    <t>Şubat</t>
  </si>
  <si>
    <t>Mart</t>
  </si>
  <si>
    <t>Nisan</t>
  </si>
  <si>
    <t>Mayıs</t>
  </si>
  <si>
    <t>Haziran</t>
  </si>
  <si>
    <t>Temmuz</t>
  </si>
  <si>
    <t>Ağustos</t>
  </si>
  <si>
    <t>Eylül</t>
  </si>
  <si>
    <t>Ekim</t>
  </si>
  <si>
    <t>Kasım</t>
  </si>
  <si>
    <t>Aralık</t>
  </si>
  <si>
    <r>
      <t xml:space="preserve">  Aylık Kök Ücret
  </t>
    </r>
    <r>
      <rPr>
        <b/>
        <sz val="16"/>
        <rFont val="Calibri"/>
        <family val="2"/>
        <charset val="162"/>
        <scheme val="minor"/>
      </rPr>
      <t>Brüt</t>
    </r>
  </si>
  <si>
    <r>
      <t xml:space="preserve">  Aylık Kök Ücret
  </t>
    </r>
    <r>
      <rPr>
        <b/>
        <sz val="16"/>
        <rFont val="Calibri"/>
        <family val="2"/>
        <charset val="162"/>
        <scheme val="minor"/>
      </rPr>
      <t>Net</t>
    </r>
  </si>
  <si>
    <r>
      <t xml:space="preserve">  Günlük Kök Ücret
  </t>
    </r>
    <r>
      <rPr>
        <b/>
        <sz val="16"/>
        <rFont val="Calibri"/>
        <family val="2"/>
        <charset val="162"/>
        <scheme val="minor"/>
      </rPr>
      <t>Brüt</t>
    </r>
  </si>
  <si>
    <r>
      <t xml:space="preserve">  Günlük Kök Ücret
  </t>
    </r>
    <r>
      <rPr>
        <b/>
        <sz val="16"/>
        <rFont val="Calibri"/>
        <family val="2"/>
        <charset val="162"/>
        <scheme val="minor"/>
      </rPr>
      <t>Net</t>
    </r>
  </si>
  <si>
    <r>
      <t xml:space="preserve">   Sosyal Yardım
   </t>
    </r>
    <r>
      <rPr>
        <b/>
        <sz val="16"/>
        <rFont val="Calibri"/>
        <family val="2"/>
        <charset val="162"/>
        <scheme val="minor"/>
      </rPr>
      <t>Brüt</t>
    </r>
  </si>
  <si>
    <r>
      <t xml:space="preserve">   Sosyal Yardım
   </t>
    </r>
    <r>
      <rPr>
        <b/>
        <sz val="16"/>
        <rFont val="Calibri"/>
        <family val="2"/>
        <charset val="162"/>
        <scheme val="minor"/>
      </rPr>
      <t>Net</t>
    </r>
  </si>
  <si>
    <t>Kapsam Dışı</t>
  </si>
  <si>
    <r>
      <t xml:space="preserve">   Fazla Çalışma
   </t>
    </r>
    <r>
      <rPr>
        <b/>
        <sz val="16"/>
        <rFont val="Calibri"/>
        <family val="2"/>
        <charset val="162"/>
        <scheme val="minor"/>
      </rPr>
      <t>% 50</t>
    </r>
  </si>
  <si>
    <r>
      <t xml:space="preserve">   Fazla Sürelerle Çalışma
   </t>
    </r>
    <r>
      <rPr>
        <b/>
        <sz val="16"/>
        <rFont val="Calibri"/>
        <family val="2"/>
        <charset val="162"/>
        <scheme val="minor"/>
      </rPr>
      <t>% 25</t>
    </r>
  </si>
  <si>
    <r>
      <t xml:space="preserve">a) Kadın işçilerin </t>
    </r>
    <r>
      <rPr>
        <b/>
        <sz val="16"/>
        <color theme="0"/>
        <rFont val="Calibri"/>
        <family val="2"/>
        <charset val="162"/>
        <scheme val="minor"/>
      </rPr>
      <t>doğumdan önce 8 ve doğumdan sonra 8 hafta</t>
    </r>
    <r>
      <rPr>
        <sz val="16"/>
        <color theme="0"/>
        <rFont val="Calibri"/>
        <family val="2"/>
        <charset val="162"/>
        <scheme val="minor"/>
      </rPr>
      <t xml:space="preserve"> olmak üzere toplam 16 haftalık süre için çalıştırılmamaları esastır.
(4857 sayılı İş Kanunu / Madde 74)</t>
    </r>
  </si>
  <si>
    <r>
      <t xml:space="preserve">a) İşçilerin en az %70 oranında engelli veya süreğen hastalığı olan çocuğunun tedavisinde, hastalık raporuna dayalı olarak ve çalışan ebeveynden sadece biri tarafından kullanılması kaydıyla, </t>
    </r>
    <r>
      <rPr>
        <b/>
        <sz val="16"/>
        <color theme="0"/>
        <rFont val="Calibri"/>
        <family val="2"/>
        <charset val="162"/>
        <scheme val="minor"/>
      </rPr>
      <t>bir yıl içinde toptan veya bölümler hâlinde 10 güne kadar</t>
    </r>
    <r>
      <rPr>
        <sz val="16"/>
        <color theme="0"/>
        <rFont val="Calibri"/>
        <family val="2"/>
        <charset val="162"/>
        <scheme val="minor"/>
      </rPr>
      <t xml:space="preserve"> ücretli izin verilir.
(4857 sayılı İş Kanunu / Ek Madde 2)</t>
    </r>
  </si>
  <si>
    <r>
      <t xml:space="preserve">a) İşçiye; evlat edinmesi hâlinde </t>
    </r>
    <r>
      <rPr>
        <b/>
        <sz val="16"/>
        <color theme="0"/>
        <rFont val="Calibri"/>
        <family val="2"/>
        <charset val="162"/>
        <scheme val="minor"/>
      </rPr>
      <t>3 gün</t>
    </r>
    <r>
      <rPr>
        <sz val="16"/>
        <color theme="0"/>
        <rFont val="Calibri"/>
        <family val="2"/>
        <charset val="162"/>
        <scheme val="minor"/>
      </rPr>
      <t xml:space="preserve"> ücretli izin verilir.
(4857 sayılı İş Kanunu / Ek Madde 2)</t>
    </r>
  </si>
  <si>
    <r>
      <t xml:space="preserve">a) Bildirim süreleri içinde işveren, işçiye yeni bir iş bulması için gerekli olan iş arama iznini iş saatleri içinde ve ücret kesintisi yapmadan vermeye mecburdur. İş arama izninin süresi </t>
    </r>
    <r>
      <rPr>
        <b/>
        <sz val="16"/>
        <color theme="0"/>
        <rFont val="Calibri"/>
        <family val="2"/>
        <charset val="162"/>
        <scheme val="minor"/>
      </rPr>
      <t>günde 2 saatten az olamaz</t>
    </r>
    <r>
      <rPr>
        <sz val="16"/>
        <color theme="0"/>
        <rFont val="Calibri"/>
        <family val="2"/>
        <charset val="162"/>
        <scheme val="minor"/>
      </rPr>
      <t xml:space="preserve"> ve işçi isterse iş arama izin saatlerini birleştirerek toplu kullanabilir.
(4857 sayılı İş Kanunu / Madde 27)</t>
    </r>
  </si>
  <si>
    <r>
      <t xml:space="preserve">a) Kadın işçilere bir yaşından küçük çocuklarını emzirmeleri için </t>
    </r>
    <r>
      <rPr>
        <b/>
        <sz val="16"/>
        <color theme="0"/>
        <rFont val="Calibri"/>
        <family val="2"/>
        <charset val="162"/>
        <scheme val="minor"/>
      </rPr>
      <t>günde toplam 1,5 saat</t>
    </r>
    <r>
      <rPr>
        <sz val="16"/>
        <color theme="0"/>
        <rFont val="Calibri"/>
        <family val="2"/>
        <charset val="162"/>
        <scheme val="minor"/>
      </rPr>
      <t xml:space="preserve"> süt izni verilir.
(4857 sayılı İş Kanunu / Madde 74)</t>
    </r>
  </si>
  <si>
    <r>
      <t xml:space="preserve">a) İşyerinde işçi sayısı 50’ye kadar ise yıllık en fazla 20 iş günü ücretli izin verilir.
İşyerinde işçi sayısı 51 ile 100 arasında ise yıllık en fazla 30 iş günü ücretli izin verilir.
İşyerinde işçi sayısı 101 ile 200 arasında ise yıllık en fazla 40 iş günü ücretli izin verilir.
İşyerinde işçi sayısı 201 ile 500 arasında ise yıllık en fazla 60 iş günü ücretli izin verilir.
İşyerinde işçi sayısı 501 ile 1000 arasında ise yıllık en fazla 80 iş günü ücretli izin verilir.
İşyerinde işçi sayısı 1000 işçiden fazla ise yıllık en fazla işçi sayısının % 10'u kadar iş günü ücretli sendikal izin verilir.
(6. Dönem Toplu İş Sözleşmesi / Madde 36)
b) Sendikal faaliyetler için sendikanın yazılı talebi üzerine ve işverenin hizmetlerini aksatmamak suretiyle, işçilere ayrı ayrı olmadan çalışan kişi sayısı karşılığına gelen gün kadar yıllık ücretli sendikal izin verilir.
c) Temsilcilik görevlerini yerine getirmeleri için baştemsilciye haftada 1 gün, diğer temsilcilere ayda 1’er gün ücretli sendikal izin verilir.
d) Toplu iş sözleşmesi yapmak üzere yetkisi kesinleşen sendika; 
işyerinde işçi sayısı </t>
    </r>
    <r>
      <rPr>
        <b/>
        <sz val="16"/>
        <color theme="0"/>
        <rFont val="Calibri"/>
        <family val="2"/>
        <charset val="162"/>
        <scheme val="minor"/>
      </rPr>
      <t>50’ye kadar ise 1</t>
    </r>
    <r>
      <rPr>
        <sz val="16"/>
        <color theme="0"/>
        <rFont val="Calibri"/>
        <family val="2"/>
        <charset val="162"/>
        <scheme val="minor"/>
      </rPr>
      <t xml:space="preserve">,
</t>
    </r>
    <r>
      <rPr>
        <b/>
        <sz val="16"/>
        <color theme="0"/>
        <rFont val="Calibri"/>
        <family val="2"/>
        <charset val="162"/>
        <scheme val="minor"/>
      </rPr>
      <t>51 ile 100 arasında</t>
    </r>
    <r>
      <rPr>
        <sz val="16"/>
        <color theme="0"/>
        <rFont val="Calibri"/>
        <family val="2"/>
        <charset val="162"/>
        <scheme val="minor"/>
      </rPr>
      <t xml:space="preserve"> ise </t>
    </r>
    <r>
      <rPr>
        <b/>
        <sz val="16"/>
        <color theme="0"/>
        <rFont val="Calibri"/>
        <family val="2"/>
        <charset val="162"/>
        <scheme val="minor"/>
      </rPr>
      <t>en çok 2</t>
    </r>
    <r>
      <rPr>
        <sz val="16"/>
        <color theme="0"/>
        <rFont val="Calibri"/>
        <family val="2"/>
        <charset val="162"/>
        <scheme val="minor"/>
      </rPr>
      <t xml:space="preserve">,
</t>
    </r>
    <r>
      <rPr>
        <b/>
        <sz val="16"/>
        <color theme="0"/>
        <rFont val="Calibri"/>
        <family val="2"/>
        <charset val="162"/>
        <scheme val="minor"/>
      </rPr>
      <t>101 ile 500 arasında</t>
    </r>
    <r>
      <rPr>
        <sz val="16"/>
        <color theme="0"/>
        <rFont val="Calibri"/>
        <family val="2"/>
        <charset val="162"/>
        <scheme val="minor"/>
      </rPr>
      <t xml:space="preserve"> ise </t>
    </r>
    <r>
      <rPr>
        <b/>
        <sz val="16"/>
        <color theme="0"/>
        <rFont val="Calibri"/>
        <family val="2"/>
        <charset val="162"/>
        <scheme val="minor"/>
      </rPr>
      <t>en çok 3</t>
    </r>
    <r>
      <rPr>
        <sz val="16"/>
        <color theme="0"/>
        <rFont val="Calibri"/>
        <family val="2"/>
        <charset val="162"/>
        <scheme val="minor"/>
      </rPr>
      <t xml:space="preserve">,
</t>
    </r>
    <r>
      <rPr>
        <b/>
        <sz val="16"/>
        <color theme="0"/>
        <rFont val="Calibri"/>
        <family val="2"/>
        <charset val="162"/>
        <scheme val="minor"/>
      </rPr>
      <t>501 ile 1000 arasında</t>
    </r>
    <r>
      <rPr>
        <sz val="16"/>
        <color theme="0"/>
        <rFont val="Calibri"/>
        <family val="2"/>
        <charset val="162"/>
        <scheme val="minor"/>
      </rPr>
      <t xml:space="preserve"> ise </t>
    </r>
    <r>
      <rPr>
        <b/>
        <sz val="16"/>
        <color theme="0"/>
        <rFont val="Calibri"/>
        <family val="2"/>
        <charset val="162"/>
        <scheme val="minor"/>
      </rPr>
      <t>en çok 4</t>
    </r>
    <r>
      <rPr>
        <sz val="16"/>
        <color theme="0"/>
        <rFont val="Calibri"/>
        <family val="2"/>
        <charset val="162"/>
        <scheme val="minor"/>
      </rPr>
      <t xml:space="preserve">,
</t>
    </r>
    <r>
      <rPr>
        <b/>
        <sz val="16"/>
        <color theme="0"/>
        <rFont val="Calibri"/>
        <family val="2"/>
        <charset val="162"/>
        <scheme val="minor"/>
      </rPr>
      <t>1001 ile 2000 arasında</t>
    </r>
    <r>
      <rPr>
        <sz val="16"/>
        <color theme="0"/>
        <rFont val="Calibri"/>
        <family val="2"/>
        <charset val="162"/>
        <scheme val="minor"/>
      </rPr>
      <t xml:space="preserve"> ise </t>
    </r>
    <r>
      <rPr>
        <b/>
        <sz val="16"/>
        <color theme="0"/>
        <rFont val="Calibri"/>
        <family val="2"/>
        <charset val="162"/>
        <scheme val="minor"/>
      </rPr>
      <t>en çok 6</t>
    </r>
    <r>
      <rPr>
        <sz val="16"/>
        <color theme="0"/>
        <rFont val="Calibri"/>
        <family val="2"/>
        <charset val="162"/>
        <scheme val="minor"/>
      </rPr>
      <t xml:space="preserve">,
</t>
    </r>
    <r>
      <rPr>
        <b/>
        <sz val="16"/>
        <color theme="0"/>
        <rFont val="Calibri"/>
        <family val="2"/>
        <charset val="162"/>
        <scheme val="minor"/>
      </rPr>
      <t>2000’den fazla</t>
    </r>
    <r>
      <rPr>
        <sz val="16"/>
        <color theme="0"/>
        <rFont val="Calibri"/>
        <family val="2"/>
        <charset val="162"/>
        <scheme val="minor"/>
      </rPr>
      <t xml:space="preserve"> ise </t>
    </r>
    <r>
      <rPr>
        <b/>
        <sz val="16"/>
        <color theme="0"/>
        <rFont val="Calibri"/>
        <family val="2"/>
        <charset val="162"/>
        <scheme val="minor"/>
      </rPr>
      <t>en çok 8</t>
    </r>
    <r>
      <rPr>
        <sz val="16"/>
        <color theme="0"/>
        <rFont val="Calibri"/>
        <family val="2"/>
        <charset val="162"/>
        <scheme val="minor"/>
      </rPr>
      <t xml:space="preserve"> işyeri sendika temsilcisini işyerinde çalışan üyeleri arasından atayarak </t>
    </r>
    <r>
      <rPr>
        <b/>
        <sz val="16"/>
        <color theme="0"/>
        <rFont val="Calibri"/>
        <family val="2"/>
        <charset val="162"/>
        <scheme val="minor"/>
      </rPr>
      <t>15 gün içinde</t>
    </r>
    <r>
      <rPr>
        <sz val="16"/>
        <color theme="0"/>
        <rFont val="Calibri"/>
        <family val="2"/>
        <charset val="162"/>
        <scheme val="minor"/>
      </rPr>
      <t xml:space="preserve"> kimliklerini işverene bildirir. Bunlardan </t>
    </r>
    <r>
      <rPr>
        <b/>
        <sz val="16"/>
        <color theme="0"/>
        <rFont val="Calibri"/>
        <family val="2"/>
        <charset val="162"/>
        <scheme val="minor"/>
      </rPr>
      <t>biri baş temsilci</t>
    </r>
    <r>
      <rPr>
        <sz val="16"/>
        <color theme="0"/>
        <rFont val="Calibri"/>
        <family val="2"/>
        <charset val="162"/>
        <scheme val="minor"/>
      </rPr>
      <t xml:space="preserve"> olarak görevlendirilebilir. Temsilcilerin görevi, sendikanın yetkisi süresince devam eder.
(6356 sayılı Sendikalar ve Toplu İş Sözleşmesi Kanunu / Madde 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</si>
</sst>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dd/mm/yyyy;@"/>
    <numFmt numFmtId="165" formatCode="0\ &quot;Gün&quot;"/>
    <numFmt numFmtId="166" formatCode="0\ &quot;Yıl&quot;"/>
    <numFmt numFmtId="167" formatCode="#,##0.00\ &quot;₺&quot;"/>
    <numFmt numFmtId="168" formatCode="0.000000"/>
    <numFmt numFmtId="169" formatCode="%\ 0"/>
    <numFmt numFmtId="170" formatCode="%\ 0.00"/>
    <numFmt numFmtId="171" formatCode="0.0\ &quot;Saat&quot;"/>
    <numFmt numFmtId="172" formatCode="0.0000000"/>
    <numFmt numFmtId="173" formatCode="0.0"/>
  </numFmts>
  <fonts count="15" x14ac:knownFonts="1">
    <font>
      <sz val="11"/>
      <color rgb="FF000000"/>
      <name val="Calibri"/>
      <family val="2"/>
      <charset val="1"/>
    </font>
    <font>
      <sz val="11"/>
      <color rgb="FF000000"/>
      <name val="Calibri"/>
      <family val="2"/>
      <charset val="162"/>
    </font>
    <font>
      <sz val="11"/>
      <color rgb="FF000000"/>
      <name val="Calibri"/>
      <family val="2"/>
      <charset val="1"/>
    </font>
    <font>
      <sz val="10"/>
      <name val="Arial Tur"/>
      <charset val="162"/>
    </font>
    <font>
      <sz val="8"/>
      <name val="Calibri"/>
      <family val="2"/>
      <charset val="1"/>
    </font>
    <font>
      <sz val="16"/>
      <name val="Calibri"/>
      <family val="2"/>
      <charset val="162"/>
      <scheme val="minor"/>
    </font>
    <font>
      <b/>
      <sz val="16"/>
      <name val="Calibri"/>
      <family val="2"/>
      <charset val="162"/>
      <scheme val="minor"/>
    </font>
    <font>
      <sz val="16"/>
      <color rgb="FFFF0000"/>
      <name val="Calibri"/>
      <family val="2"/>
      <charset val="162"/>
      <scheme val="minor"/>
    </font>
    <font>
      <b/>
      <sz val="22"/>
      <name val="Calibri"/>
      <family val="2"/>
      <charset val="162"/>
      <scheme val="minor"/>
    </font>
    <font>
      <b/>
      <sz val="22"/>
      <color rgb="FFFF0000"/>
      <name val="Calibri"/>
      <family val="2"/>
      <charset val="162"/>
      <scheme val="minor"/>
    </font>
    <font>
      <sz val="15"/>
      <name val="Calibri"/>
      <family val="2"/>
      <charset val="162"/>
      <scheme val="minor"/>
    </font>
    <font>
      <sz val="14"/>
      <name val="Calibri"/>
      <family val="2"/>
      <charset val="162"/>
      <scheme val="minor"/>
    </font>
    <font>
      <sz val="26"/>
      <name val="Calibri"/>
      <family val="2"/>
      <charset val="162"/>
      <scheme val="minor"/>
    </font>
    <font>
      <sz val="16"/>
      <color theme="0"/>
      <name val="Calibri"/>
      <family val="2"/>
      <charset val="162"/>
      <scheme val="minor"/>
    </font>
    <font>
      <b/>
      <sz val="16"/>
      <color theme="0"/>
      <name val="Calibri"/>
      <family val="2"/>
      <charset val="162"/>
      <scheme val="minor"/>
    </font>
  </fonts>
  <fills count="6">
    <fill>
      <patternFill patternType="none"/>
    </fill>
    <fill>
      <patternFill patternType="gray125"/>
    </fill>
    <fill>
      <patternFill patternType="solid">
        <fgColor theme="0" tint="-0.14999847407452621"/>
        <bgColor indexed="64"/>
      </patternFill>
    </fill>
    <fill>
      <patternFill patternType="solid">
        <fgColor rgb="FFC8E1B4"/>
        <bgColor indexed="64"/>
      </patternFill>
    </fill>
    <fill>
      <patternFill patternType="solid">
        <fgColor theme="8" tint="0.79998168889431442"/>
        <bgColor indexed="64"/>
      </patternFill>
    </fill>
    <fill>
      <patternFill patternType="solid">
        <fgColor rgb="FFDAEEF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
    <xf numFmtId="0" fontId="0" fillId="0" borderId="0"/>
    <xf numFmtId="0" fontId="1" fillId="0" borderId="0"/>
    <xf numFmtId="0" fontId="3" fillId="0" borderId="0"/>
    <xf numFmtId="0" fontId="2" fillId="0" borderId="0"/>
    <xf numFmtId="9" fontId="3" fillId="0" borderId="0" applyFont="0" applyFill="0" applyBorder="0" applyAlignment="0" applyProtection="0"/>
    <xf numFmtId="0" fontId="3" fillId="0" borderId="0" applyFont="0" applyFill="0" applyBorder="0" applyAlignment="0" applyProtection="0"/>
  </cellStyleXfs>
  <cellXfs count="73">
    <xf numFmtId="0" fontId="0" fillId="0" borderId="0" xfId="0"/>
    <xf numFmtId="0" fontId="5" fillId="2" borderId="1" xfId="2" applyFont="1" applyFill="1" applyBorder="1" applyAlignment="1" applyProtection="1">
      <alignment horizontal="center" vertical="center" wrapText="1"/>
      <protection hidden="1"/>
    </xf>
    <xf numFmtId="0" fontId="5" fillId="0" borderId="0" xfId="2" applyFont="1" applyAlignment="1" applyProtection="1">
      <alignment horizontal="center" vertical="center" wrapText="1"/>
      <protection hidden="1"/>
    </xf>
    <xf numFmtId="167" fontId="5" fillId="4" borderId="1" xfId="2" applyNumberFormat="1" applyFont="1" applyFill="1" applyBorder="1" applyAlignment="1" applyProtection="1">
      <alignment horizontal="center" vertical="center" wrapText="1"/>
      <protection hidden="1"/>
    </xf>
    <xf numFmtId="167" fontId="5" fillId="5" borderId="1" xfId="2" applyNumberFormat="1" applyFont="1" applyFill="1" applyBorder="1" applyAlignment="1" applyProtection="1">
      <alignment horizontal="center" vertical="center" wrapText="1"/>
      <protection hidden="1"/>
    </xf>
    <xf numFmtId="167" fontId="5" fillId="2" borderId="1" xfId="2" applyNumberFormat="1" applyFont="1" applyFill="1" applyBorder="1" applyAlignment="1" applyProtection="1">
      <alignment horizontal="center" vertical="center" wrapText="1"/>
      <protection hidden="1"/>
    </xf>
    <xf numFmtId="4" fontId="5" fillId="2" borderId="1" xfId="2" applyNumberFormat="1" applyFont="1" applyFill="1" applyBorder="1" applyAlignment="1" applyProtection="1">
      <alignment horizontal="center" vertical="center" wrapText="1"/>
      <protection hidden="1"/>
    </xf>
    <xf numFmtId="170" fontId="10" fillId="2" borderId="1" xfId="2" applyNumberFormat="1" applyFont="1" applyFill="1" applyBorder="1" applyAlignment="1" applyProtection="1">
      <alignment horizontal="center" vertical="center" wrapText="1"/>
      <protection hidden="1"/>
    </xf>
    <xf numFmtId="2" fontId="5" fillId="2" borderId="1" xfId="0" applyNumberFormat="1" applyFont="1" applyFill="1" applyBorder="1" applyAlignment="1" applyProtection="1">
      <alignment horizontal="center" vertical="center" wrapText="1"/>
      <protection hidden="1"/>
    </xf>
    <xf numFmtId="167" fontId="8" fillId="4" borderId="1" xfId="2" applyNumberFormat="1" applyFont="1" applyFill="1" applyBorder="1" applyAlignment="1" applyProtection="1">
      <alignment horizontal="center" vertical="center" wrapText="1"/>
      <protection hidden="1"/>
    </xf>
    <xf numFmtId="167" fontId="9" fillId="4" borderId="1" xfId="2" applyNumberFormat="1" applyFont="1" applyFill="1" applyBorder="1" applyAlignment="1" applyProtection="1">
      <alignment horizontal="center" vertical="center" wrapText="1"/>
      <protection hidden="1"/>
    </xf>
    <xf numFmtId="167" fontId="5" fillId="3" borderId="1" xfId="2" applyNumberFormat="1" applyFont="1" applyFill="1" applyBorder="1" applyAlignment="1" applyProtection="1">
      <alignment horizontal="center" vertical="center" wrapText="1"/>
      <protection hidden="1"/>
    </xf>
    <xf numFmtId="4" fontId="10" fillId="2" borderId="1" xfId="2" applyNumberFormat="1" applyFont="1" applyFill="1" applyBorder="1" applyAlignment="1" applyProtection="1">
      <alignment horizontal="center" vertical="center" wrapText="1"/>
      <protection hidden="1"/>
    </xf>
    <xf numFmtId="167" fontId="8" fillId="2" borderId="1" xfId="2" applyNumberFormat="1" applyFont="1" applyFill="1" applyBorder="1" applyAlignment="1" applyProtection="1">
      <alignment horizontal="center" vertical="center" wrapText="1"/>
      <protection hidden="1"/>
    </xf>
    <xf numFmtId="167" fontId="9" fillId="2" borderId="1" xfId="2" applyNumberFormat="1" applyFont="1" applyFill="1" applyBorder="1" applyAlignment="1" applyProtection="1">
      <alignment horizontal="center" vertical="center" wrapText="1"/>
      <protection hidden="1"/>
    </xf>
    <xf numFmtId="173" fontId="5" fillId="2" borderId="1" xfId="2" applyNumberFormat="1" applyFont="1" applyFill="1" applyBorder="1" applyAlignment="1" applyProtection="1">
      <alignment horizontal="center" vertical="center" wrapText="1"/>
      <protection hidden="1"/>
    </xf>
    <xf numFmtId="1" fontId="5" fillId="2" borderId="1" xfId="2" applyNumberFormat="1" applyFont="1" applyFill="1" applyBorder="1" applyAlignment="1" applyProtection="1">
      <alignment horizontal="center" vertical="center" wrapText="1"/>
      <protection hidden="1"/>
    </xf>
    <xf numFmtId="2" fontId="11" fillId="2" borderId="1" xfId="0" applyNumberFormat="1" applyFont="1" applyFill="1" applyBorder="1" applyAlignment="1" applyProtection="1">
      <alignment horizontal="center" vertical="center" wrapText="1"/>
      <protection hidden="1"/>
    </xf>
    <xf numFmtId="0" fontId="5" fillId="0" borderId="0" xfId="2" applyFont="1" applyAlignment="1" applyProtection="1">
      <alignment horizontal="right" vertical="center" wrapText="1"/>
      <protection hidden="1"/>
    </xf>
    <xf numFmtId="0" fontId="13" fillId="0" borderId="0" xfId="2" applyFont="1" applyAlignment="1" applyProtection="1">
      <alignment horizontal="center" vertical="center" wrapText="1"/>
      <protection hidden="1"/>
    </xf>
    <xf numFmtId="167" fontId="13" fillId="0" borderId="0" xfId="2" applyNumberFormat="1" applyFont="1" applyAlignment="1" applyProtection="1">
      <alignment horizontal="center" vertical="center" wrapText="1"/>
      <protection hidden="1"/>
    </xf>
    <xf numFmtId="165" fontId="13" fillId="0" borderId="0" xfId="2" applyNumberFormat="1" applyFont="1" applyAlignment="1" applyProtection="1">
      <alignment horizontal="center" vertical="center" wrapText="1"/>
      <protection hidden="1"/>
    </xf>
    <xf numFmtId="170" fontId="13" fillId="0" borderId="0" xfId="2" applyNumberFormat="1" applyFont="1" applyAlignment="1" applyProtection="1">
      <alignment horizontal="center" vertical="center" wrapText="1"/>
      <protection hidden="1"/>
    </xf>
    <xf numFmtId="0" fontId="13" fillId="0" borderId="0" xfId="3" applyFont="1" applyAlignment="1" applyProtection="1">
      <alignment horizontal="center" vertical="center" wrapText="1"/>
      <protection hidden="1"/>
    </xf>
    <xf numFmtId="2" fontId="13" fillId="0" borderId="0" xfId="3" applyNumberFormat="1" applyFont="1" applyAlignment="1" applyProtection="1">
      <alignment horizontal="center" vertical="center" wrapText="1"/>
      <protection hidden="1"/>
    </xf>
    <xf numFmtId="4" fontId="13" fillId="0" borderId="0" xfId="2" applyNumberFormat="1" applyFont="1" applyAlignment="1" applyProtection="1">
      <alignment horizontal="center" vertical="center" wrapText="1"/>
      <protection hidden="1"/>
    </xf>
    <xf numFmtId="164" fontId="13" fillId="0" borderId="0" xfId="2" applyNumberFormat="1" applyFont="1" applyAlignment="1" applyProtection="1">
      <alignment horizontal="center" vertical="center" wrapText="1"/>
      <protection hidden="1"/>
    </xf>
    <xf numFmtId="164" fontId="13" fillId="0" borderId="0" xfId="0" applyNumberFormat="1" applyFont="1" applyAlignment="1" applyProtection="1">
      <alignment horizontal="center" vertical="center" wrapText="1"/>
      <protection hidden="1"/>
    </xf>
    <xf numFmtId="165" fontId="13" fillId="0" borderId="0" xfId="0" applyNumberFormat="1" applyFont="1" applyAlignment="1" applyProtection="1">
      <alignment horizontal="center" vertical="center" wrapText="1"/>
      <protection hidden="1"/>
    </xf>
    <xf numFmtId="167" fontId="13" fillId="0" borderId="0" xfId="0" applyNumberFormat="1" applyFont="1" applyAlignment="1" applyProtection="1">
      <alignment horizontal="center" vertical="center" wrapText="1"/>
      <protection hidden="1"/>
    </xf>
    <xf numFmtId="166" fontId="13" fillId="0" borderId="0" xfId="2" applyNumberFormat="1" applyFont="1" applyAlignment="1" applyProtection="1">
      <alignment horizontal="center" vertical="center" wrapText="1"/>
      <protection hidden="1"/>
    </xf>
    <xf numFmtId="171" fontId="13" fillId="0" borderId="0" xfId="3" applyNumberFormat="1" applyFont="1" applyAlignment="1" applyProtection="1">
      <alignment horizontal="center" vertical="center" wrapText="1"/>
      <protection hidden="1"/>
    </xf>
    <xf numFmtId="167" fontId="13" fillId="0" borderId="0" xfId="3" applyNumberFormat="1" applyFont="1" applyAlignment="1" applyProtection="1">
      <alignment horizontal="center" vertical="center" wrapText="1"/>
      <protection hidden="1"/>
    </xf>
    <xf numFmtId="3" fontId="13" fillId="0" borderId="0" xfId="2" applyNumberFormat="1" applyFont="1" applyAlignment="1" applyProtection="1">
      <alignment horizontal="center" vertical="center" wrapText="1"/>
      <protection hidden="1"/>
    </xf>
    <xf numFmtId="2" fontId="13" fillId="0" borderId="0" xfId="2" applyNumberFormat="1" applyFont="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13" fillId="0" borderId="0" xfId="0" applyFont="1" applyAlignment="1" applyProtection="1">
      <alignment horizontal="right" vertical="center" wrapText="1"/>
      <protection hidden="1"/>
    </xf>
    <xf numFmtId="49" fontId="13" fillId="0" borderId="0" xfId="0" applyNumberFormat="1" applyFont="1" applyAlignment="1" applyProtection="1">
      <alignment horizontal="center" vertical="center" wrapText="1"/>
      <protection hidden="1"/>
    </xf>
    <xf numFmtId="49" fontId="13" fillId="0" borderId="0" xfId="2" applyNumberFormat="1" applyFont="1" applyAlignment="1" applyProtection="1">
      <alignment horizontal="center" vertical="center" wrapText="1"/>
      <protection hidden="1"/>
    </xf>
    <xf numFmtId="171" fontId="13" fillId="0" borderId="0" xfId="2" applyNumberFormat="1" applyFont="1" applyAlignment="1" applyProtection="1">
      <alignment horizontal="center" vertical="center" wrapText="1"/>
      <protection hidden="1"/>
    </xf>
    <xf numFmtId="172" fontId="13" fillId="0" borderId="0" xfId="2" applyNumberFormat="1" applyFont="1" applyAlignment="1" applyProtection="1">
      <alignment horizontal="center" vertical="center" wrapText="1"/>
      <protection hidden="1"/>
    </xf>
    <xf numFmtId="2" fontId="13" fillId="0" borderId="0" xfId="2" applyNumberFormat="1" applyFont="1" applyAlignment="1" applyProtection="1">
      <alignment horizontal="right" vertical="center" wrapText="1"/>
      <protection hidden="1"/>
    </xf>
    <xf numFmtId="169" fontId="13" fillId="0" borderId="0" xfId="2" applyNumberFormat="1" applyFont="1" applyAlignment="1" applyProtection="1">
      <alignment horizontal="center" vertical="center" wrapText="1"/>
      <protection hidden="1"/>
    </xf>
    <xf numFmtId="170" fontId="13" fillId="0" borderId="0" xfId="4" applyNumberFormat="1" applyFont="1" applyFill="1" applyBorder="1" applyAlignment="1" applyProtection="1">
      <alignment horizontal="center" vertical="center" wrapText="1"/>
      <protection hidden="1"/>
    </xf>
    <xf numFmtId="168" fontId="13" fillId="0" borderId="0" xfId="2" applyNumberFormat="1" applyFont="1" applyAlignment="1" applyProtection="1">
      <alignment horizontal="center" vertical="center" wrapText="1"/>
      <protection hidden="1"/>
    </xf>
    <xf numFmtId="167" fontId="13" fillId="0" borderId="0" xfId="4" applyNumberFormat="1" applyFont="1" applyFill="1" applyBorder="1" applyAlignment="1" applyProtection="1">
      <alignment horizontal="center" vertical="center" wrapText="1"/>
      <protection hidden="1"/>
    </xf>
    <xf numFmtId="49" fontId="13" fillId="0" borderId="0" xfId="3" applyNumberFormat="1" applyFont="1" applyAlignment="1" applyProtection="1">
      <alignment horizontal="center" vertical="center" wrapText="1"/>
      <protection hidden="1"/>
    </xf>
    <xf numFmtId="167" fontId="5" fillId="3" borderId="1" xfId="2" applyNumberFormat="1" applyFont="1" applyFill="1" applyBorder="1" applyAlignment="1" applyProtection="1">
      <alignment horizontal="center" vertical="center" wrapText="1"/>
      <protection locked="0" hidden="1"/>
    </xf>
    <xf numFmtId="173" fontId="5" fillId="3" borderId="1" xfId="3" applyNumberFormat="1" applyFont="1" applyFill="1" applyBorder="1" applyAlignment="1" applyProtection="1">
      <alignment horizontal="center" vertical="center" wrapText="1"/>
      <protection locked="0" hidden="1"/>
    </xf>
    <xf numFmtId="1" fontId="5" fillId="3" borderId="1" xfId="2" applyNumberFormat="1" applyFont="1" applyFill="1" applyBorder="1" applyAlignment="1" applyProtection="1">
      <alignment horizontal="center" vertical="center" wrapText="1"/>
      <protection locked="0" hidden="1"/>
    </xf>
    <xf numFmtId="169" fontId="5" fillId="3" borderId="1" xfId="2" applyNumberFormat="1" applyFont="1" applyFill="1" applyBorder="1" applyAlignment="1" applyProtection="1">
      <alignment horizontal="center" vertical="center" wrapText="1"/>
      <protection locked="0" hidden="1"/>
    </xf>
    <xf numFmtId="2" fontId="5" fillId="2" borderId="1" xfId="2" applyNumberFormat="1" applyFont="1" applyFill="1" applyBorder="1" applyAlignment="1" applyProtection="1">
      <alignment horizontal="center" textRotation="90" wrapText="1"/>
      <protection hidden="1"/>
    </xf>
    <xf numFmtId="2" fontId="5" fillId="2" borderId="10" xfId="2" applyNumberFormat="1" applyFont="1" applyFill="1" applyBorder="1" applyAlignment="1" applyProtection="1">
      <alignment horizontal="center" textRotation="90" wrapText="1"/>
      <protection hidden="1"/>
    </xf>
    <xf numFmtId="2" fontId="5" fillId="2" borderId="11" xfId="2" applyNumberFormat="1" applyFont="1" applyFill="1" applyBorder="1" applyAlignment="1" applyProtection="1">
      <alignment horizontal="center" textRotation="90" wrapText="1"/>
      <protection hidden="1"/>
    </xf>
    <xf numFmtId="2" fontId="5" fillId="2" borderId="12" xfId="2" applyNumberFormat="1" applyFont="1" applyFill="1" applyBorder="1" applyAlignment="1" applyProtection="1">
      <alignment horizontal="center" textRotation="90" wrapText="1"/>
      <protection hidden="1"/>
    </xf>
    <xf numFmtId="2" fontId="5" fillId="2" borderId="1" xfId="0" applyNumberFormat="1" applyFont="1" applyFill="1" applyBorder="1" applyAlignment="1" applyProtection="1">
      <alignment horizontal="center" textRotation="90" wrapText="1"/>
      <protection hidden="1"/>
    </xf>
    <xf numFmtId="0" fontId="5" fillId="2" borderId="10" xfId="0" applyFont="1" applyFill="1" applyBorder="1" applyAlignment="1" applyProtection="1">
      <alignment horizontal="center" vertical="center" wrapText="1"/>
      <protection hidden="1"/>
    </xf>
    <xf numFmtId="0" fontId="5" fillId="2" borderId="11" xfId="0" applyFont="1" applyFill="1" applyBorder="1" applyAlignment="1" applyProtection="1">
      <alignment horizontal="center" vertical="center" wrapText="1"/>
      <protection hidden="1"/>
    </xf>
    <xf numFmtId="0" fontId="5" fillId="2" borderId="12" xfId="0" applyFont="1" applyFill="1" applyBorder="1" applyAlignment="1" applyProtection="1">
      <alignment horizontal="center" vertical="center" wrapText="1"/>
      <protection hidden="1"/>
    </xf>
    <xf numFmtId="2" fontId="12" fillId="3" borderId="1" xfId="2" applyNumberFormat="1" applyFont="1" applyFill="1" applyBorder="1" applyAlignment="1" applyProtection="1">
      <alignment horizontal="center" vertical="center" textRotation="90" wrapText="1"/>
      <protection hidden="1"/>
    </xf>
    <xf numFmtId="0" fontId="5" fillId="2" borderId="9" xfId="0" applyFont="1" applyFill="1" applyBorder="1" applyAlignment="1" applyProtection="1">
      <alignment horizontal="center" vertical="center" wrapText="1"/>
      <protection hidden="1"/>
    </xf>
    <xf numFmtId="0" fontId="5" fillId="2" borderId="0" xfId="0" applyFont="1" applyFill="1" applyAlignment="1" applyProtection="1">
      <alignment horizontal="left" vertical="center" wrapText="1"/>
      <protection hidden="1"/>
    </xf>
    <xf numFmtId="0" fontId="5" fillId="2" borderId="5" xfId="0" applyFont="1" applyFill="1" applyBorder="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0" fontId="5" fillId="3" borderId="1" xfId="2" applyFont="1" applyFill="1" applyBorder="1" applyAlignment="1" applyProtection="1">
      <alignment horizontal="center" vertical="center" textRotation="90" wrapText="1"/>
      <protection locked="0" hidden="1"/>
    </xf>
    <xf numFmtId="0" fontId="5" fillId="2" borderId="2"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0" fontId="5" fillId="2" borderId="1" xfId="2" applyFont="1" applyFill="1" applyBorder="1" applyAlignment="1" applyProtection="1">
      <alignment horizontal="center" vertical="center" wrapText="1"/>
      <protection hidden="1"/>
    </xf>
    <xf numFmtId="2" fontId="7" fillId="2" borderId="1" xfId="2" applyNumberFormat="1" applyFont="1" applyFill="1" applyBorder="1" applyAlignment="1" applyProtection="1">
      <alignment horizontal="center" textRotation="90" wrapText="1"/>
      <protection hidden="1"/>
    </xf>
    <xf numFmtId="0" fontId="5" fillId="2" borderId="8" xfId="0" applyFont="1" applyFill="1" applyBorder="1" applyAlignment="1" applyProtection="1">
      <alignment horizontal="center" vertical="center" wrapText="1"/>
      <protection hidden="1"/>
    </xf>
    <xf numFmtId="0" fontId="5" fillId="3" borderId="1" xfId="0" applyFont="1" applyFill="1" applyBorder="1" applyAlignment="1" applyProtection="1">
      <alignment horizontal="center" vertical="center" textRotation="90" wrapText="1"/>
      <protection locked="0" hidden="1"/>
    </xf>
  </cellXfs>
  <cellStyles count="6">
    <cellStyle name="Açıklama Metni" xfId="1" builtinId="53" customBuiltin="1"/>
    <cellStyle name="Normal" xfId="0" builtinId="0"/>
    <cellStyle name="Normal 2" xfId="2" xr:uid="{00000000-0005-0000-0000-000002000000}"/>
    <cellStyle name="Normal 2 2" xfId="3" xr:uid="{00000000-0005-0000-0000-000003000000}"/>
    <cellStyle name="Virgül 2" xfId="5" xr:uid="{00000000-0005-0000-0000-000004000000}"/>
    <cellStyle name="Yüzde 2" xfId="4" xr:uid="{00000000-0005-0000-0000-00000500000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E699"/>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5E0B4"/>
      <rgbColor rgb="FFFFFF99"/>
      <rgbColor rgb="FF99CCFF"/>
      <rgbColor rgb="FFFF99CC"/>
      <rgbColor rgb="FFCC99FF"/>
      <rgbColor rgb="FFF8CBAD"/>
      <rgbColor rgb="FF3366FF"/>
      <rgbColor rgb="FF33CCCC"/>
      <rgbColor rgb="FF99CC00"/>
      <rgbColor rgb="FFFFCC00"/>
      <rgbColor rgb="FFFF9900"/>
      <rgbColor rgb="FFFF3333"/>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8E1B4"/>
      <color rgb="FFDAEEF3"/>
      <color rgb="FF003300"/>
      <color rgb="FF9933FF"/>
      <color rgb="FFAAD7E1"/>
      <color rgb="FFAAD7DC"/>
      <color rgb="FFAAD7E6"/>
      <color rgb="FFAACDE6"/>
      <color rgb="FFAFCDE6"/>
      <color rgb="FFAFE1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821142851852943"/>
          <c:y val="1.6407513119655142E-2"/>
          <c:w val="0.22938183964581099"/>
          <c:h val="0.96718497376068968"/>
        </c:manualLayout>
      </c:layout>
      <c:barChart>
        <c:barDir val="bar"/>
        <c:grouping val="clustered"/>
        <c:varyColors val="0"/>
        <c:ser>
          <c:idx val="0"/>
          <c:order val="0"/>
          <c:spPr>
            <a:solidFill>
              <a:schemeClr val="tx1"/>
            </a:solidFill>
            <a:ln>
              <a:noFill/>
            </a:ln>
            <a:effectLst/>
          </c:spPr>
          <c:invertIfNegative val="0"/>
          <c:dPt>
            <c:idx val="10"/>
            <c:invertIfNegative val="0"/>
            <c:bubble3D val="0"/>
            <c:spPr>
              <a:solidFill>
                <a:schemeClr val="tx1"/>
              </a:solidFill>
              <a:ln>
                <a:noFill/>
              </a:ln>
              <a:effectLst/>
            </c:spPr>
            <c:extLst>
              <c:ext xmlns:c16="http://schemas.microsoft.com/office/drawing/2014/chart" uri="{C3380CC4-5D6E-409C-BE32-E72D297353CC}">
                <c16:uniqueId val="{00000035-7CFE-44BF-A422-9711557B250B}"/>
              </c:ext>
            </c:extLst>
          </c:dPt>
          <c:dPt>
            <c:idx val="11"/>
            <c:invertIfNegative val="0"/>
            <c:bubble3D val="0"/>
            <c:spPr>
              <a:solidFill>
                <a:srgbClr val="C00000"/>
              </a:solidFill>
              <a:ln>
                <a:noFill/>
              </a:ln>
              <a:effectLst/>
            </c:spPr>
            <c:extLst>
              <c:ext xmlns:c16="http://schemas.microsoft.com/office/drawing/2014/chart" uri="{C3380CC4-5D6E-409C-BE32-E72D297353CC}">
                <c16:uniqueId val="{00000027-15C5-4CF9-A126-8061EA1D968F}"/>
              </c:ext>
            </c:extLst>
          </c:dPt>
          <c:dPt>
            <c:idx val="12"/>
            <c:invertIfNegative val="0"/>
            <c:bubble3D val="0"/>
            <c:spPr>
              <a:solidFill>
                <a:srgbClr val="C00000"/>
              </a:solidFill>
              <a:ln>
                <a:noFill/>
              </a:ln>
              <a:effectLst/>
            </c:spPr>
            <c:extLst>
              <c:ext xmlns:c16="http://schemas.microsoft.com/office/drawing/2014/chart" uri="{C3380CC4-5D6E-409C-BE32-E72D297353CC}">
                <c16:uniqueId val="{00000028-15C5-4CF9-A126-8061EA1D968F}"/>
              </c:ext>
            </c:extLst>
          </c:dPt>
          <c:dPt>
            <c:idx val="13"/>
            <c:invertIfNegative val="0"/>
            <c:bubble3D val="0"/>
            <c:spPr>
              <a:solidFill>
                <a:srgbClr val="C00000"/>
              </a:solidFill>
              <a:ln>
                <a:noFill/>
              </a:ln>
              <a:effectLst/>
            </c:spPr>
            <c:extLst>
              <c:ext xmlns:c16="http://schemas.microsoft.com/office/drawing/2014/chart" uri="{C3380CC4-5D6E-409C-BE32-E72D297353CC}">
                <c16:uniqueId val="{00000029-15C5-4CF9-A126-8061EA1D968F}"/>
              </c:ext>
            </c:extLst>
          </c:dPt>
          <c:dPt>
            <c:idx val="14"/>
            <c:invertIfNegative val="0"/>
            <c:bubble3D val="0"/>
            <c:spPr>
              <a:solidFill>
                <a:srgbClr val="C00000"/>
              </a:solidFill>
              <a:ln>
                <a:noFill/>
              </a:ln>
              <a:effectLst/>
            </c:spPr>
            <c:extLst>
              <c:ext xmlns:c16="http://schemas.microsoft.com/office/drawing/2014/chart" uri="{C3380CC4-5D6E-409C-BE32-E72D297353CC}">
                <c16:uniqueId val="{0000002A-15C5-4CF9-A126-8061EA1D968F}"/>
              </c:ext>
            </c:extLst>
          </c:dPt>
          <c:dPt>
            <c:idx val="15"/>
            <c:invertIfNegative val="0"/>
            <c:bubble3D val="0"/>
            <c:spPr>
              <a:solidFill>
                <a:srgbClr val="C00000"/>
              </a:solidFill>
              <a:ln>
                <a:noFill/>
              </a:ln>
              <a:effectLst/>
            </c:spPr>
            <c:extLst>
              <c:ext xmlns:c16="http://schemas.microsoft.com/office/drawing/2014/chart" uri="{C3380CC4-5D6E-409C-BE32-E72D297353CC}">
                <c16:uniqueId val="{0000002B-15C5-4CF9-A126-8061EA1D968F}"/>
              </c:ext>
            </c:extLst>
          </c:dPt>
          <c:dPt>
            <c:idx val="16"/>
            <c:invertIfNegative val="0"/>
            <c:bubble3D val="0"/>
            <c:spPr>
              <a:solidFill>
                <a:srgbClr val="C00000"/>
              </a:solidFill>
              <a:ln>
                <a:noFill/>
              </a:ln>
              <a:effectLst/>
            </c:spPr>
            <c:extLst>
              <c:ext xmlns:c16="http://schemas.microsoft.com/office/drawing/2014/chart" uri="{C3380CC4-5D6E-409C-BE32-E72D297353CC}">
                <c16:uniqueId val="{0000002C-15C5-4CF9-A126-8061EA1D968F}"/>
              </c:ext>
            </c:extLst>
          </c:dPt>
          <c:dPt>
            <c:idx val="17"/>
            <c:invertIfNegative val="0"/>
            <c:bubble3D val="0"/>
            <c:spPr>
              <a:solidFill>
                <a:srgbClr val="C00000"/>
              </a:solidFill>
              <a:ln>
                <a:noFill/>
              </a:ln>
              <a:effectLst/>
            </c:spPr>
            <c:extLst>
              <c:ext xmlns:c16="http://schemas.microsoft.com/office/drawing/2014/chart" uri="{C3380CC4-5D6E-409C-BE32-E72D297353CC}">
                <c16:uniqueId val="{0000002D-15C5-4CF9-A126-8061EA1D968F}"/>
              </c:ext>
            </c:extLst>
          </c:dPt>
          <c:dPt>
            <c:idx val="18"/>
            <c:invertIfNegative val="0"/>
            <c:bubble3D val="0"/>
            <c:spPr>
              <a:solidFill>
                <a:schemeClr val="bg1">
                  <a:lumMod val="50000"/>
                </a:schemeClr>
              </a:solidFill>
              <a:ln>
                <a:noFill/>
              </a:ln>
              <a:effectLst/>
            </c:spPr>
            <c:extLst>
              <c:ext xmlns:c16="http://schemas.microsoft.com/office/drawing/2014/chart" uri="{C3380CC4-5D6E-409C-BE32-E72D297353CC}">
                <c16:uniqueId val="{00000036-B11B-4591-90FE-4D23434FBFCF}"/>
              </c:ext>
            </c:extLst>
          </c:dPt>
          <c:dPt>
            <c:idx val="20"/>
            <c:invertIfNegative val="0"/>
            <c:bubble3D val="0"/>
            <c:spPr>
              <a:solidFill>
                <a:schemeClr val="tx1"/>
              </a:solidFill>
              <a:ln>
                <a:noFill/>
              </a:ln>
              <a:effectLst/>
            </c:spPr>
            <c:extLst>
              <c:ext xmlns:c16="http://schemas.microsoft.com/office/drawing/2014/chart" uri="{C3380CC4-5D6E-409C-BE32-E72D297353CC}">
                <c16:uniqueId val="{0000000F-45CA-4018-8A5C-C7D91A61B798}"/>
              </c:ext>
            </c:extLst>
          </c:dPt>
          <c:dPt>
            <c:idx val="21"/>
            <c:invertIfNegative val="0"/>
            <c:bubble3D val="0"/>
            <c:spPr>
              <a:solidFill>
                <a:schemeClr val="tx1"/>
              </a:solidFill>
              <a:ln>
                <a:noFill/>
              </a:ln>
              <a:effectLst/>
            </c:spPr>
            <c:extLst>
              <c:ext xmlns:c16="http://schemas.microsoft.com/office/drawing/2014/chart" uri="{C3380CC4-5D6E-409C-BE32-E72D297353CC}">
                <c16:uniqueId val="{0000000E-45CA-4018-8A5C-C7D91A61B798}"/>
              </c:ext>
            </c:extLst>
          </c:dPt>
          <c:dPt>
            <c:idx val="22"/>
            <c:invertIfNegative val="0"/>
            <c:bubble3D val="0"/>
            <c:spPr>
              <a:solidFill>
                <a:schemeClr val="tx1"/>
              </a:solidFill>
              <a:ln>
                <a:noFill/>
              </a:ln>
              <a:effectLst/>
            </c:spPr>
            <c:extLst>
              <c:ext xmlns:c16="http://schemas.microsoft.com/office/drawing/2014/chart" uri="{C3380CC4-5D6E-409C-BE32-E72D297353CC}">
                <c16:uniqueId val="{0000000D-45CA-4018-8A5C-C7D91A61B798}"/>
              </c:ext>
            </c:extLst>
          </c:dPt>
          <c:dPt>
            <c:idx val="23"/>
            <c:invertIfNegative val="0"/>
            <c:bubble3D val="0"/>
            <c:spPr>
              <a:solidFill>
                <a:schemeClr val="tx1"/>
              </a:solidFill>
              <a:ln>
                <a:noFill/>
              </a:ln>
              <a:effectLst/>
            </c:spPr>
            <c:extLst>
              <c:ext xmlns:c16="http://schemas.microsoft.com/office/drawing/2014/chart" uri="{C3380CC4-5D6E-409C-BE32-E72D297353CC}">
                <c16:uniqueId val="{00000015-E42F-428B-802F-3B6F8ADE344D}"/>
              </c:ext>
            </c:extLst>
          </c:dPt>
          <c:dPt>
            <c:idx val="24"/>
            <c:invertIfNegative val="0"/>
            <c:bubble3D val="0"/>
            <c:spPr>
              <a:solidFill>
                <a:schemeClr val="tx1"/>
              </a:solidFill>
              <a:ln>
                <a:noFill/>
              </a:ln>
              <a:effectLst/>
            </c:spPr>
            <c:extLst>
              <c:ext xmlns:c16="http://schemas.microsoft.com/office/drawing/2014/chart" uri="{C3380CC4-5D6E-409C-BE32-E72D297353CC}">
                <c16:uniqueId val="{0000000A-45CA-4018-8A5C-C7D91A61B798}"/>
              </c:ext>
            </c:extLst>
          </c:dPt>
          <c:dPt>
            <c:idx val="25"/>
            <c:invertIfNegative val="0"/>
            <c:bubble3D val="0"/>
            <c:spPr>
              <a:solidFill>
                <a:schemeClr val="tx1"/>
              </a:solidFill>
              <a:ln>
                <a:noFill/>
              </a:ln>
              <a:effectLst/>
            </c:spPr>
            <c:extLst>
              <c:ext xmlns:c16="http://schemas.microsoft.com/office/drawing/2014/chart" uri="{C3380CC4-5D6E-409C-BE32-E72D297353CC}">
                <c16:uniqueId val="{00000009-45CA-4018-8A5C-C7D91A61B798}"/>
              </c:ext>
            </c:extLst>
          </c:dPt>
          <c:dPt>
            <c:idx val="26"/>
            <c:invertIfNegative val="0"/>
            <c:bubble3D val="0"/>
            <c:spPr>
              <a:solidFill>
                <a:srgbClr val="C00000"/>
              </a:solidFill>
              <a:ln>
                <a:noFill/>
              </a:ln>
              <a:effectLst/>
            </c:spPr>
            <c:extLst>
              <c:ext xmlns:c16="http://schemas.microsoft.com/office/drawing/2014/chart" uri="{C3380CC4-5D6E-409C-BE32-E72D297353CC}">
                <c16:uniqueId val="{0000000B-45CA-4018-8A5C-C7D91A61B798}"/>
              </c:ext>
            </c:extLst>
          </c:dPt>
          <c:dPt>
            <c:idx val="27"/>
            <c:invertIfNegative val="0"/>
            <c:bubble3D val="0"/>
            <c:spPr>
              <a:solidFill>
                <a:srgbClr val="C00000"/>
              </a:solidFill>
              <a:ln>
                <a:noFill/>
              </a:ln>
              <a:effectLst/>
            </c:spPr>
            <c:extLst>
              <c:ext xmlns:c16="http://schemas.microsoft.com/office/drawing/2014/chart" uri="{C3380CC4-5D6E-409C-BE32-E72D297353CC}">
                <c16:uniqueId val="{00000008-45CA-4018-8A5C-C7D91A61B798}"/>
              </c:ext>
            </c:extLst>
          </c:dPt>
          <c:dPt>
            <c:idx val="28"/>
            <c:invertIfNegative val="0"/>
            <c:bubble3D val="0"/>
            <c:spPr>
              <a:solidFill>
                <a:srgbClr val="C00000"/>
              </a:solidFill>
              <a:ln>
                <a:noFill/>
              </a:ln>
              <a:effectLst/>
            </c:spPr>
            <c:extLst>
              <c:ext xmlns:c16="http://schemas.microsoft.com/office/drawing/2014/chart" uri="{C3380CC4-5D6E-409C-BE32-E72D297353CC}">
                <c16:uniqueId val="{0000000C-45CA-4018-8A5C-C7D91A61B798}"/>
              </c:ext>
            </c:extLst>
          </c:dPt>
          <c:dPt>
            <c:idx val="29"/>
            <c:invertIfNegative val="0"/>
            <c:bubble3D val="0"/>
            <c:spPr>
              <a:solidFill>
                <a:srgbClr val="C00000"/>
              </a:solidFill>
              <a:ln>
                <a:noFill/>
              </a:ln>
              <a:effectLst/>
            </c:spPr>
            <c:extLst>
              <c:ext xmlns:c16="http://schemas.microsoft.com/office/drawing/2014/chart" uri="{C3380CC4-5D6E-409C-BE32-E72D297353CC}">
                <c16:uniqueId val="{00000007-45CA-4018-8A5C-C7D91A61B798}"/>
              </c:ext>
            </c:extLst>
          </c:dPt>
          <c:dPt>
            <c:idx val="30"/>
            <c:invertIfNegative val="0"/>
            <c:bubble3D val="0"/>
            <c:spPr>
              <a:solidFill>
                <a:srgbClr val="C00000"/>
              </a:solidFill>
              <a:ln>
                <a:noFill/>
              </a:ln>
              <a:effectLst/>
            </c:spPr>
            <c:extLst>
              <c:ext xmlns:c16="http://schemas.microsoft.com/office/drawing/2014/chart" uri="{C3380CC4-5D6E-409C-BE32-E72D297353CC}">
                <c16:uniqueId val="{00000013-D68E-4191-8C49-7635405731D1}"/>
              </c:ext>
            </c:extLst>
          </c:dPt>
          <c:dPt>
            <c:idx val="31"/>
            <c:invertIfNegative val="0"/>
            <c:bubble3D val="0"/>
            <c:spPr>
              <a:solidFill>
                <a:srgbClr val="C00000"/>
              </a:solidFill>
              <a:ln>
                <a:noFill/>
              </a:ln>
              <a:effectLst/>
            </c:spPr>
            <c:extLst>
              <c:ext xmlns:c16="http://schemas.microsoft.com/office/drawing/2014/chart" uri="{C3380CC4-5D6E-409C-BE32-E72D297353CC}">
                <c16:uniqueId val="{00000017-D7E6-45C6-BD44-9DAF6A5B6F82}"/>
              </c:ext>
            </c:extLst>
          </c:dPt>
          <c:dPt>
            <c:idx val="32"/>
            <c:invertIfNegative val="0"/>
            <c:bubble3D val="0"/>
            <c:spPr>
              <a:solidFill>
                <a:srgbClr val="C00000"/>
              </a:solidFill>
              <a:ln>
                <a:noFill/>
              </a:ln>
              <a:effectLst/>
            </c:spPr>
            <c:extLst>
              <c:ext xmlns:c16="http://schemas.microsoft.com/office/drawing/2014/chart" uri="{C3380CC4-5D6E-409C-BE32-E72D297353CC}">
                <c16:uniqueId val="{00000018-D7E6-45C6-BD44-9DAF6A5B6F82}"/>
              </c:ext>
            </c:extLst>
          </c:dPt>
          <c:dPt>
            <c:idx val="33"/>
            <c:invertIfNegative val="0"/>
            <c:bubble3D val="0"/>
            <c:spPr>
              <a:solidFill>
                <a:srgbClr val="C00000"/>
              </a:solidFill>
              <a:ln>
                <a:noFill/>
              </a:ln>
              <a:effectLst/>
            </c:spPr>
            <c:extLst>
              <c:ext xmlns:c16="http://schemas.microsoft.com/office/drawing/2014/chart" uri="{C3380CC4-5D6E-409C-BE32-E72D297353CC}">
                <c16:uniqueId val="{0000001D-B20F-4A15-8DC8-56B8EB5F98BA}"/>
              </c:ext>
            </c:extLst>
          </c:dPt>
          <c:dPt>
            <c:idx val="34"/>
            <c:invertIfNegative val="0"/>
            <c:bubble3D val="0"/>
            <c:spPr>
              <a:solidFill>
                <a:srgbClr val="C00000"/>
              </a:solidFill>
              <a:ln>
                <a:noFill/>
              </a:ln>
              <a:effectLst/>
            </c:spPr>
            <c:extLst>
              <c:ext xmlns:c16="http://schemas.microsoft.com/office/drawing/2014/chart" uri="{C3380CC4-5D6E-409C-BE32-E72D297353CC}">
                <c16:uniqueId val="{0000001C-B20F-4A15-8DC8-56B8EB5F98BA}"/>
              </c:ext>
            </c:extLst>
          </c:dPt>
          <c:dPt>
            <c:idx val="35"/>
            <c:invertIfNegative val="0"/>
            <c:bubble3D val="0"/>
            <c:spPr>
              <a:solidFill>
                <a:srgbClr val="C00000"/>
              </a:solidFill>
              <a:ln>
                <a:noFill/>
              </a:ln>
              <a:effectLst/>
            </c:spPr>
            <c:extLst>
              <c:ext xmlns:c16="http://schemas.microsoft.com/office/drawing/2014/chart" uri="{C3380CC4-5D6E-409C-BE32-E72D297353CC}">
                <c16:uniqueId val="{0000001E-B20F-4A15-8DC8-56B8EB5F98BA}"/>
              </c:ext>
            </c:extLst>
          </c:dPt>
          <c:dPt>
            <c:idx val="36"/>
            <c:invertIfNegative val="0"/>
            <c:bubble3D val="0"/>
            <c:spPr>
              <a:solidFill>
                <a:srgbClr val="C00000"/>
              </a:solidFill>
              <a:ln>
                <a:noFill/>
              </a:ln>
              <a:effectLst/>
            </c:spPr>
            <c:extLst>
              <c:ext xmlns:c16="http://schemas.microsoft.com/office/drawing/2014/chart" uri="{C3380CC4-5D6E-409C-BE32-E72D297353CC}">
                <c16:uniqueId val="{0000001B-B20F-4A15-8DC8-56B8EB5F98BA}"/>
              </c:ext>
            </c:extLst>
          </c:dPt>
          <c:dPt>
            <c:idx val="37"/>
            <c:invertIfNegative val="0"/>
            <c:bubble3D val="0"/>
            <c:spPr>
              <a:solidFill>
                <a:srgbClr val="C00000"/>
              </a:solidFill>
              <a:ln>
                <a:noFill/>
              </a:ln>
              <a:effectLst/>
            </c:spPr>
            <c:extLst>
              <c:ext xmlns:c16="http://schemas.microsoft.com/office/drawing/2014/chart" uri="{C3380CC4-5D6E-409C-BE32-E72D297353CC}">
                <c16:uniqueId val="{00000023-8CC3-4E54-9960-0F980A27CEC9}"/>
              </c:ext>
            </c:extLst>
          </c:dPt>
          <c:dPt>
            <c:idx val="38"/>
            <c:invertIfNegative val="0"/>
            <c:bubble3D val="0"/>
            <c:spPr>
              <a:solidFill>
                <a:schemeClr val="bg1">
                  <a:lumMod val="50000"/>
                </a:schemeClr>
              </a:solidFill>
              <a:ln>
                <a:noFill/>
              </a:ln>
              <a:effectLst/>
            </c:spPr>
            <c:extLst>
              <c:ext xmlns:c16="http://schemas.microsoft.com/office/drawing/2014/chart" uri="{C3380CC4-5D6E-409C-BE32-E72D297353CC}">
                <c16:uniqueId val="{00000024-8CC3-4E54-9960-0F980A27CEC9}"/>
              </c:ext>
            </c:extLst>
          </c:dPt>
          <c:dLbls>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'Özet Tablo'!$AB$1:$AB$18</c:f>
              <c:strCache>
                <c:ptCount val="18"/>
                <c:pt idx="0">
                  <c:v>Normal Çalışma</c:v>
                </c:pt>
                <c:pt idx="1">
                  <c:v>Kıdem Yardımı</c:v>
                </c:pt>
                <c:pt idx="2">
                  <c:v>Fazla Çalışma (% 50)</c:v>
                </c:pt>
                <c:pt idx="3">
                  <c:v>Fazla Sürelerle Çalışma (% 25)</c:v>
                </c:pt>
                <c:pt idx="4">
                  <c:v>Resmi Tatillerde Çalışma (% 100)</c:v>
                </c:pt>
                <c:pt idx="5">
                  <c:v>Gece Çalışma (% 12)</c:v>
                </c:pt>
                <c:pt idx="6">
                  <c:v>Yemek Yardımı</c:v>
                </c:pt>
                <c:pt idx="7">
                  <c:v>Ulaşım Yardımı</c:v>
                </c:pt>
                <c:pt idx="8">
                  <c:v>İkramiye Yardımı</c:v>
                </c:pt>
                <c:pt idx="9">
                  <c:v>Sosyal Yardım</c:v>
                </c:pt>
                <c:pt idx="10">
                  <c:v>Nakdi Yardımlar</c:v>
                </c:pt>
                <c:pt idx="11">
                  <c:v>Sendika Üyelik Aidatı Kesintisi</c:v>
                </c:pt>
                <c:pt idx="12">
                  <c:v>BES Kesintisi</c:v>
                </c:pt>
                <c:pt idx="13">
                  <c:v>Damga Vergisi Kesintisi</c:v>
                </c:pt>
                <c:pt idx="14">
                  <c:v>SGK Prim Kesintisi</c:v>
                </c:pt>
                <c:pt idx="15">
                  <c:v>SGK İşsizlik Primi Kesintisi</c:v>
                </c:pt>
                <c:pt idx="16">
                  <c:v>Gelir Vergisi Kesintisi</c:v>
                </c:pt>
                <c:pt idx="17">
                  <c:v>İşveren Maliyeti</c:v>
                </c:pt>
              </c:strCache>
            </c:strRef>
          </c:cat>
          <c:val>
            <c:numRef>
              <c:f>'Özet Tablo'!$AC$1:$AC$18</c:f>
              <c:numCache>
                <c:formatCode>#,##0.00\ "₺"</c:formatCode>
                <c:ptCount val="18"/>
                <c:pt idx="0">
                  <c:v>63765.465072590909</c:v>
                </c:pt>
                <c:pt idx="1">
                  <c:v>0</c:v>
                </c:pt>
                <c:pt idx="2">
                  <c:v>0</c:v>
                </c:pt>
                <c:pt idx="3">
                  <c:v>0</c:v>
                </c:pt>
                <c:pt idx="4">
                  <c:v>0</c:v>
                </c:pt>
                <c:pt idx="5">
                  <c:v>0</c:v>
                </c:pt>
                <c:pt idx="6">
                  <c:v>7246.199999999998</c:v>
                </c:pt>
                <c:pt idx="7">
                  <c:v>3229.25</c:v>
                </c:pt>
                <c:pt idx="8">
                  <c:v>20967.502668602949</c:v>
                </c:pt>
                <c:pt idx="9">
                  <c:v>4408.5804375888283</c:v>
                </c:pt>
                <c:pt idx="10">
                  <c:v>0</c:v>
                </c:pt>
                <c:pt idx="11">
                  <c:v>0</c:v>
                </c:pt>
                <c:pt idx="12">
                  <c:v>0</c:v>
                </c:pt>
                <c:pt idx="13">
                  <c:v>854.48186661983073</c:v>
                </c:pt>
                <c:pt idx="14">
                  <c:v>20902.273850695168</c:v>
                </c:pt>
                <c:pt idx="15">
                  <c:v>1493.0195607639405</c:v>
                </c:pt>
                <c:pt idx="16">
                  <c:v>25469.048333333336</c:v>
                </c:pt>
                <c:pt idx="17">
                  <c:v>178722.59882899906</c:v>
                </c:pt>
              </c:numCache>
            </c:numRef>
          </c:val>
          <c:extLst>
            <c:ext xmlns:c16="http://schemas.microsoft.com/office/drawing/2014/chart" uri="{C3380CC4-5D6E-409C-BE32-E72D297353CC}">
              <c16:uniqueId val="{00000000-755B-478D-AB69-BF223AA4AC7C}"/>
            </c:ext>
          </c:extLst>
        </c:ser>
        <c:dLbls>
          <c:dLblPos val="outEnd"/>
          <c:showLegendKey val="0"/>
          <c:showVal val="1"/>
          <c:showCatName val="0"/>
          <c:showSerName val="0"/>
          <c:showPercent val="0"/>
          <c:showBubbleSize val="0"/>
        </c:dLbls>
        <c:gapWidth val="182"/>
        <c:axId val="552148752"/>
        <c:axId val="552147112"/>
      </c:barChart>
      <c:catAx>
        <c:axId val="5521487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tr-TR"/>
          </a:p>
        </c:txPr>
        <c:crossAx val="552147112"/>
        <c:crosses val="autoZero"/>
        <c:auto val="1"/>
        <c:lblAlgn val="ctr"/>
        <c:lblOffset val="100"/>
        <c:tickMarkSkip val="1"/>
        <c:noMultiLvlLbl val="0"/>
      </c:catAx>
      <c:valAx>
        <c:axId val="552147112"/>
        <c:scaling>
          <c:orientation val="minMax"/>
        </c:scaling>
        <c:delete val="1"/>
        <c:axPos val="t"/>
        <c:numFmt formatCode="#,##0.00\ &quot;₺&quot;" sourceLinked="1"/>
        <c:majorTickMark val="out"/>
        <c:minorTickMark val="none"/>
        <c:tickLblPos val="nextTo"/>
        <c:crossAx val="552148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solidFill>
        <a:schemeClr val="tx1">
          <a:lumMod val="15000"/>
          <a:lumOff val="85000"/>
        </a:schemeClr>
      </a:solidFill>
      <a:round/>
    </a:ln>
    <a:effectLst/>
  </c:spPr>
  <c:txPr>
    <a:bodyPr/>
    <a:lstStyle/>
    <a:p>
      <a:pPr>
        <a:defRPr sz="1600"/>
      </a:pPr>
      <a:endParaRPr lang="tr-T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plosion val="4"/>
            <c:spPr>
              <a:solidFill>
                <a:schemeClr val="tx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D9F-40F4-A256-823C9FF01F41}"/>
              </c:ext>
            </c:extLst>
          </c:dPt>
          <c:dPt>
            <c:idx val="1"/>
            <c:bubble3D val="0"/>
            <c:explosion val="5"/>
            <c:spPr>
              <a:solidFill>
                <a:srgbClr val="C0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5D9F-40F4-A256-823C9FF01F41}"/>
              </c:ext>
            </c:extLst>
          </c:dPt>
          <c:dLbls>
            <c:dLbl>
              <c:idx val="0"/>
              <c:layout>
                <c:manualLayout>
                  <c:x val="0"/>
                  <c:y val="-0.2727330235099843"/>
                </c:manualLayout>
              </c:layout>
              <c:tx>
                <c:rich>
                  <a:bodyPr rot="0" spcFirstLastPara="1" vertOverflow="ellipsis" vert="horz" wrap="square" lIns="0" tIns="0" rIns="0" bIns="0" anchor="ctr" anchorCtr="0">
                    <a:noAutofit/>
                  </a:bodyPr>
                  <a:lstStyle/>
                  <a:p>
                    <a:pPr lvl="1" algn="ctr" rtl="0">
                      <a:defRPr sz="2000" b="1" i="0" u="none" strike="noStrike" kern="1200" baseline="0">
                        <a:solidFill>
                          <a:sysClr val="windowText" lastClr="000000"/>
                        </a:solidFill>
                        <a:latin typeface="+mn-lt"/>
                        <a:ea typeface="+mn-ea"/>
                        <a:cs typeface="+mn-cs"/>
                      </a:defRPr>
                    </a:pPr>
                    <a:r>
                      <a:rPr lang="en-US" sz="2000" i="0" u="sng" baseline="0">
                        <a:solidFill>
                          <a:sysClr val="windowText" lastClr="000000"/>
                        </a:solidFill>
                      </a:rPr>
                      <a:t>Kazançlar</a:t>
                    </a:r>
                  </a:p>
                  <a:p>
                    <a:pPr lvl="1" algn="ctr" rtl="0">
                      <a:defRPr sz="2000" b="1" i="0" u="none" strike="noStrike" kern="1200" baseline="0">
                        <a:solidFill>
                          <a:sysClr val="windowText" lastClr="000000"/>
                        </a:solidFill>
                        <a:latin typeface="+mn-lt"/>
                        <a:ea typeface="+mn-ea"/>
                        <a:cs typeface="+mn-cs"/>
                      </a:defRPr>
                    </a:pPr>
                    <a:fld id="{18CB9E8E-A975-43C0-A56F-BEEBC923E687}" type="VALU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[DEĞER]</a:t>
                    </a:fld>
                    <a:endParaRPr lang="en-US" sz="2000" i="0" baseline="0">
                      <a:solidFill>
                        <a:sysClr val="windowText" lastClr="000000"/>
                      </a:solidFill>
                    </a:endParaRPr>
                  </a:p>
                  <a:p>
                    <a:pPr lvl="1" algn="ctr" rtl="0">
                      <a:defRPr sz="2000" b="1" i="0" u="none" strike="noStrike" kern="1200" baseline="0">
                        <a:solidFill>
                          <a:sysClr val="windowText" lastClr="000000"/>
                        </a:solidFill>
                        <a:latin typeface="+mn-lt"/>
                        <a:ea typeface="+mn-ea"/>
                        <a:cs typeface="+mn-cs"/>
                      </a:defRPr>
                    </a:pPr>
                    <a:fld id="{ED1D6583-AC77-4CB8-8AE1-8BB6A6F10BE5}" type="PERCENTAG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2"/>
                    </c:manualLayout>
                  </c15:layout>
                  <c15:dlblFieldTable/>
                  <c15:showDataLabelsRange val="0"/>
                </c:ext>
                <c:ext xmlns:c16="http://schemas.microsoft.com/office/drawing/2014/chart" uri="{C3380CC4-5D6E-409C-BE32-E72D297353CC}">
                  <c16:uniqueId val="{00000001-5D9F-40F4-A256-823C9FF01F41}"/>
                </c:ext>
              </c:extLst>
            </c:dLbl>
            <c:dLbl>
              <c:idx val="1"/>
              <c:layout>
                <c:manualLayout>
                  <c:x val="0"/>
                  <c:y val="0.28660887761598208"/>
                </c:manualLayout>
              </c:layout>
              <c:tx>
                <c:rich>
                  <a:bodyPr rot="0" spcFirstLastPara="1" vertOverflow="ellipsis" vert="horz" wrap="square" lIns="0" tIns="0" rIns="0" bIns="0" anchor="t" anchorCtr="0">
                    <a:noAutofit/>
                  </a:bodyPr>
                  <a:lstStyle/>
                  <a:p>
                    <a:pPr lvl="1" algn="ctr" rtl="0">
                      <a:defRPr sz="2000" b="1" i="0" u="none" strike="noStrike" kern="1200" baseline="0">
                        <a:solidFill>
                          <a:srgbClr val="C00000"/>
                        </a:solidFill>
                        <a:latin typeface="+mn-lt"/>
                        <a:ea typeface="+mn-ea"/>
                        <a:cs typeface="+mn-cs"/>
                      </a:defRPr>
                    </a:pPr>
                    <a:r>
                      <a:rPr lang="en-US" sz="2000" b="1" i="0" u="sng" strike="noStrike" baseline="0">
                        <a:solidFill>
                          <a:srgbClr val="C00000"/>
                        </a:solidFill>
                      </a:rPr>
                      <a:t>Kesintiler</a:t>
                    </a:r>
                    <a:br>
                      <a:rPr lang="en-US" sz="2000" b="1" i="0" u="none" strike="noStrike" baseline="0">
                        <a:solidFill>
                          <a:srgbClr val="C00000"/>
                        </a:solidFill>
                      </a:rPr>
                    </a:br>
                    <a:fld id="{D48269F3-90DB-4B96-9E27-A88140910F88}" type="VALUE">
                      <a:rPr lang="en-US" sz="2000">
                        <a:solidFill>
                          <a:srgbClr val="C00000"/>
                        </a:solidFill>
                      </a:rPr>
                      <a:pPr lvl="1" algn="ctr" rtl="0">
                        <a:defRPr sz="2000" b="1" i="0" u="none" strike="noStrike" kern="1200" baseline="0">
                          <a:solidFill>
                            <a:srgbClr val="C00000"/>
                          </a:solidFill>
                          <a:latin typeface="+mn-lt"/>
                          <a:ea typeface="+mn-ea"/>
                          <a:cs typeface="+mn-cs"/>
                        </a:defRPr>
                      </a:pPr>
                      <a:t>[DEĞER]</a:t>
                    </a:fld>
                    <a:endParaRPr lang="en-US" sz="2000" baseline="0">
                      <a:solidFill>
                        <a:srgbClr val="C00000"/>
                      </a:solidFill>
                    </a:endParaRPr>
                  </a:p>
                  <a:p>
                    <a:pPr lvl="1" algn="ctr" rtl="0">
                      <a:defRPr sz="2000" b="1" i="0" u="none" strike="noStrike" kern="1200" baseline="0">
                        <a:solidFill>
                          <a:srgbClr val="C00000"/>
                        </a:solidFill>
                        <a:latin typeface="+mn-lt"/>
                        <a:ea typeface="+mn-ea"/>
                        <a:cs typeface="+mn-cs"/>
                      </a:defRPr>
                    </a:pPr>
                    <a:fld id="{C4F91586-97B1-4B5B-B426-9B699746C01D}" type="PERCENTAGE">
                      <a:rPr lang="en-US" sz="2000">
                        <a:solidFill>
                          <a:srgbClr val="C00000"/>
                        </a:solidFill>
                      </a:rPr>
                      <a:pPr lvl="1" algn="ctr" rtl="0">
                        <a:defRPr sz="2000" b="1" i="0" u="none" strike="noStrike" kern="1200" baseline="0">
                          <a:solidFill>
                            <a:srgbClr val="C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18251962962962964"/>
                    </c:manualLayout>
                  </c15:layout>
                  <c15:dlblFieldTable/>
                  <c15:showDataLabelsRange val="0"/>
                </c:ext>
                <c:ext xmlns:c16="http://schemas.microsoft.com/office/drawing/2014/chart" uri="{C3380CC4-5D6E-409C-BE32-E72D297353CC}">
                  <c16:uniqueId val="{00000003-5D9F-40F4-A256-823C9FF01F41}"/>
                </c:ext>
              </c:extLst>
            </c:dLbl>
            <c:numFmt formatCode="%\ 0.00" sourceLinked="0"/>
            <c:spPr>
              <a:noFill/>
              <a:ln>
                <a:noFill/>
              </a:ln>
              <a:effectLst/>
            </c:spPr>
            <c:txPr>
              <a:bodyPr rot="0" spcFirstLastPara="1" vertOverflow="ellipsis" vert="horz" wrap="square" lIns="0" tIns="0" rIns="0" bIns="0" anchor="ctr" anchorCtr="0">
                <a:spAutoFit/>
              </a:bodyPr>
              <a:lstStyle/>
              <a:p>
                <a:pPr algn="ctr">
                  <a:defRPr sz="1300" b="1" i="0" u="none" strike="noStrike" kern="1200" baseline="0">
                    <a:solidFill>
                      <a:schemeClr val="lt1"/>
                    </a:solidFill>
                    <a:latin typeface="+mn-lt"/>
                    <a:ea typeface="+mn-ea"/>
                    <a:cs typeface="+mn-cs"/>
                  </a:defRPr>
                </a:pPr>
                <a:endParaRPr lang="tr-TR"/>
              </a:p>
            </c:txPr>
            <c:dLblPos val="ctr"/>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'Özet Tablo'!$AB$19:$AB$20</c:f>
              <c:strCache>
                <c:ptCount val="2"/>
                <c:pt idx="0">
                  <c:v>Kazançlar</c:v>
                </c:pt>
                <c:pt idx="1">
                  <c:v>Kesintiler</c:v>
                </c:pt>
              </c:strCache>
            </c:strRef>
          </c:cat>
          <c:val>
            <c:numRef>
              <c:f>'Özet Tablo'!$AC$19:$AC$20</c:f>
              <c:numCache>
                <c:formatCode>#,##0.00\ "₺"</c:formatCode>
                <c:ptCount val="2"/>
                <c:pt idx="0">
                  <c:v>104691.13246498175</c:v>
                </c:pt>
                <c:pt idx="1">
                  <c:v>48718.823611412285</c:v>
                </c:pt>
              </c:numCache>
            </c:numRef>
          </c:val>
          <c:extLst>
            <c:ext xmlns:c16="http://schemas.microsoft.com/office/drawing/2014/chart" uri="{C3380CC4-5D6E-409C-BE32-E72D297353CC}">
              <c16:uniqueId val="{00000004-5D9F-40F4-A256-823C9FF01F41}"/>
            </c:ext>
          </c:extLst>
        </c:ser>
        <c:dLbls>
          <c:dLblPos val="inEnd"/>
          <c:showLegendKey val="0"/>
          <c:showVal val="1"/>
          <c:showCatName val="1"/>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noFill/>
      <a:round/>
    </a:ln>
    <a:effectLst/>
  </c:spPr>
  <c:txPr>
    <a:bodyPr/>
    <a:lstStyle/>
    <a:p>
      <a:pPr>
        <a:defRPr/>
      </a:pPr>
      <a:endParaRPr lang="tr-T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21</xdr:col>
      <xdr:colOff>53463</xdr:colOff>
      <xdr:row>0</xdr:row>
      <xdr:rowOff>70921</xdr:rowOff>
    </xdr:from>
    <xdr:to>
      <xdr:col>21</xdr:col>
      <xdr:colOff>7290954</xdr:colOff>
      <xdr:row>27</xdr:row>
      <xdr:rowOff>398319</xdr:rowOff>
    </xdr:to>
    <xdr:graphicFrame macro="">
      <xdr:nvGraphicFramePr>
        <xdr:cNvPr id="7" name="Grafik 6">
          <a:extLst>
            <a:ext uri="{FF2B5EF4-FFF2-40B4-BE49-F238E27FC236}">
              <a16:creationId xmlns:a16="http://schemas.microsoft.com/office/drawing/2014/main" id="{80F8C963-D5D5-4BCD-8610-182E47B88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21</xdr:col>
      <xdr:colOff>4966692</xdr:colOff>
      <xdr:row>8</xdr:row>
      <xdr:rowOff>125886</xdr:rowOff>
    </xdr:from>
    <xdr:to>
      <xdr:col>21</xdr:col>
      <xdr:colOff>7306692</xdr:colOff>
      <xdr:row>19</xdr:row>
      <xdr:rowOff>5969</xdr:rowOff>
    </xdr:to>
    <xdr:graphicFrame macro="">
      <xdr:nvGraphicFramePr>
        <xdr:cNvPr id="3" name="Grafik 2">
          <a:extLst>
            <a:ext uri="{FF2B5EF4-FFF2-40B4-BE49-F238E27FC236}">
              <a16:creationId xmlns:a16="http://schemas.microsoft.com/office/drawing/2014/main" id="{7ADA3213-C9FB-42E9-8CD0-901898DBD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OU363"/>
  <sheetViews>
    <sheetView showGridLines="0" showRowColHeaders="0" tabSelected="1" showWhiteSpace="0" zoomScale="50" zoomScaleNormal="50" zoomScaleSheetLayoutView="40" zoomScalePageLayoutView="55" workbookViewId="0">
      <pane xSplit="2" topLeftCell="C1" activePane="topRight" state="frozen"/>
      <selection activeCell="A6" sqref="A6"/>
      <selection pane="topRight" activeCell="U1" sqref="U1:U28"/>
    </sheetView>
  </sheetViews>
  <sheetFormatPr defaultColWidth="0" defaultRowHeight="0" customHeight="1" zeroHeight="1" x14ac:dyDescent="0.25"/>
  <cols>
    <col min="1" max="2" width="12.7109375" style="2" customWidth="1"/>
    <col min="3" max="4" width="25.7109375" style="2" customWidth="1"/>
    <col min="5" max="10" width="12.7109375" style="2" customWidth="1"/>
    <col min="11" max="13" width="30.7109375" style="2" customWidth="1"/>
    <col min="14" max="20" width="25.7109375" style="2" hidden="1" customWidth="1"/>
    <col min="21" max="21" width="12.7109375" style="2" customWidth="1"/>
    <col min="22" max="22" width="110.7109375" style="2" customWidth="1"/>
    <col min="23" max="23" width="12.7109375" style="2" customWidth="1"/>
    <col min="24" max="24" width="5.7109375" style="2" customWidth="1"/>
    <col min="25" max="25" width="80.7109375" style="2" customWidth="1"/>
    <col min="26" max="26" width="5.7109375" style="2" customWidth="1"/>
    <col min="27" max="27" width="1.7109375" style="2" customWidth="1"/>
    <col min="28" max="30" width="0.140625" style="19" customWidth="1"/>
    <col min="31" max="59" width="5.7109375" style="19" hidden="1" customWidth="1"/>
    <col min="60" max="62" width="20.7109375" style="19" hidden="1" customWidth="1"/>
    <col min="63" max="63" width="1.7109375" style="2" customWidth="1"/>
    <col min="64" max="411" width="0" style="2" hidden="1" customWidth="1"/>
    <col min="412" max="16384" width="5.7109375" style="2" hidden="1"/>
  </cols>
  <sheetData>
    <row r="1" spans="1:62" ht="39.950000000000003" customHeight="1" x14ac:dyDescent="0.25">
      <c r="A1" s="59" t="s">
        <v>89</v>
      </c>
      <c r="B1" s="59"/>
      <c r="C1" s="51" t="s">
        <v>83</v>
      </c>
      <c r="D1" s="51" t="s">
        <v>87</v>
      </c>
      <c r="E1" s="52" t="s">
        <v>90</v>
      </c>
      <c r="F1" s="51" t="s">
        <v>91</v>
      </c>
      <c r="G1" s="55" t="s">
        <v>68</v>
      </c>
      <c r="H1" s="51" t="s">
        <v>45</v>
      </c>
      <c r="I1" s="51" t="s">
        <v>61</v>
      </c>
      <c r="J1" s="51" t="s">
        <v>70</v>
      </c>
      <c r="K1" s="51" t="s">
        <v>58</v>
      </c>
      <c r="L1" s="51" t="s">
        <v>69</v>
      </c>
      <c r="M1" s="70" t="s">
        <v>56</v>
      </c>
      <c r="N1" s="51" t="s">
        <v>84</v>
      </c>
      <c r="O1" s="51" t="s">
        <v>85</v>
      </c>
      <c r="P1" s="51" t="s">
        <v>86</v>
      </c>
      <c r="Q1" s="51" t="s">
        <v>88</v>
      </c>
      <c r="R1" s="51" t="s">
        <v>44</v>
      </c>
      <c r="S1" s="51" t="s">
        <v>44</v>
      </c>
      <c r="T1" s="51" t="s">
        <v>44</v>
      </c>
      <c r="U1" s="65" t="s">
        <v>43</v>
      </c>
      <c r="V1" s="69"/>
      <c r="W1" s="72" t="s">
        <v>28</v>
      </c>
      <c r="X1" s="62"/>
      <c r="Y1" s="63"/>
      <c r="Z1" s="64"/>
      <c r="AA1" s="56"/>
      <c r="AB1" s="19" t="s">
        <v>17</v>
      </c>
      <c r="AC1" s="20">
        <f t="shared" ref="AC1:AC3" ca="1" si="0">IF(AD1&gt;0,AD1,AD1*-1)</f>
        <v>63765.465072590909</v>
      </c>
      <c r="AD1" s="20">
        <f ca="1">COUNTIF(U1,"Ocak")*(AO15)
+COUNTIF(U1,"Şubat")*(AO16)
+COUNTIF(U1,"Mart")*(AO17)
+COUNTIF(U1,"Nisan")*(AO18)
+COUNTIF(U1,"Mayıs")*(AO19)
+COUNTIF(U1,"Haziran")*(AO20)
+COUNTIF(U1,"Temmuz")*(AO21)
+COUNTIF(U1,"Ağustos")*(AO22)
+COUNTIF(U1,"Eylül")*(AO23)
+COUNTIF(U1,"Ekim")*(AO24)
+COUNTIF(U1,"Kasım")*(AO25)
+COUNTIF(U1,"Aralık")*(AO26)
+COUNTIF(U1,"Yıllık Toplam")*(AO27)
+COUNTIF(U1,"Yıllık Ortalama")*(AO28)</f>
        <v>63765.465072590909</v>
      </c>
      <c r="AI1" s="20">
        <f t="shared" ref="AI1:AI12" si="1">IF(BA15-AR29&lt;=0,0,BA15-AR29)</f>
        <v>0</v>
      </c>
      <c r="AJ1" s="20">
        <f>(AI1*0.00759*-1)</f>
        <v>0</v>
      </c>
      <c r="AK1" s="20">
        <f t="shared" ref="AK1:AK12" si="2">(BA15)</f>
        <v>7800</v>
      </c>
      <c r="AL1" s="20">
        <f t="shared" ref="AL1:AL6" si="3">IF($AG$13*H15&gt;=AK1,AK1,$AG$13*H15)</f>
        <v>4108</v>
      </c>
      <c r="AM1" s="20">
        <f>(AK1-AL1)</f>
        <v>3692</v>
      </c>
      <c r="AN1" s="20">
        <f>(AM1*0.14*-1)</f>
        <v>-516.88</v>
      </c>
      <c r="AO1" s="20">
        <f>(AM1*0.01*-1)</f>
        <v>-36.92</v>
      </c>
      <c r="AP1" s="20">
        <f t="shared" ref="AP1:AP12" si="4">(BA15+AN1+AO1)</f>
        <v>7246.2</v>
      </c>
      <c r="AQ1" s="20">
        <f t="shared" ref="AQ1:AQ6" si="5">IF($AG$14*H15&gt;=AP1,AP1,$AG$14*H15)</f>
        <v>7246.2</v>
      </c>
      <c r="AR1" s="20">
        <f>IF(AP1-AQ1&lt;=0,0,AP1-AQ1)</f>
        <v>0</v>
      </c>
      <c r="AS1" s="20">
        <f t="shared" ref="AS1:AS12" ca="1" si="6">IF(AR1*AX59*-1&gt;=0,0,AR1*AX59*-1)</f>
        <v>0</v>
      </c>
      <c r="AT1" s="21">
        <v>30</v>
      </c>
      <c r="AU1" s="20">
        <f t="shared" ref="AU1:AU12" ca="1" si="7">(AV1/BC59/30*AT1)</f>
        <v>3843.840483417493</v>
      </c>
      <c r="AV1" s="20">
        <f t="shared" ref="AV1" si="8">(2748/30*AT1)</f>
        <v>2748</v>
      </c>
      <c r="AW1" s="21">
        <v>10</v>
      </c>
      <c r="AX1" s="20">
        <f t="shared" ref="AX1:AX12" si="9">(O15*AW1)</f>
        <v>27626.666666666664</v>
      </c>
      <c r="AY1" s="20">
        <f>(0)</f>
        <v>0</v>
      </c>
      <c r="AZ1" s="20">
        <f t="shared" ref="AZ1:AZ12" ca="1" si="10">(AY1*BC59)</f>
        <v>0</v>
      </c>
      <c r="BA1" s="21">
        <v>30</v>
      </c>
    </row>
    <row r="2" spans="1:62" ht="39.950000000000003" customHeight="1" x14ac:dyDescent="0.25">
      <c r="A2" s="59"/>
      <c r="B2" s="59"/>
      <c r="C2" s="51"/>
      <c r="D2" s="51"/>
      <c r="E2" s="53"/>
      <c r="F2" s="51"/>
      <c r="G2" s="55"/>
      <c r="H2" s="51"/>
      <c r="I2" s="51"/>
      <c r="J2" s="51"/>
      <c r="K2" s="51"/>
      <c r="L2" s="51"/>
      <c r="M2" s="70"/>
      <c r="N2" s="51"/>
      <c r="O2" s="51"/>
      <c r="P2" s="51"/>
      <c r="Q2" s="51"/>
      <c r="R2" s="51"/>
      <c r="S2" s="51"/>
      <c r="T2" s="51"/>
      <c r="U2" s="65"/>
      <c r="V2" s="69"/>
      <c r="W2" s="72"/>
      <c r="X2" s="71"/>
      <c r="Y2" s="61" t="str">
        <f>IF($W$1="Analık Hâli İzni",$AC$21,
IF($W$1="Annelik İzni",$AC$22,
IF($W$1="Babalık İzni",$AC$23,
IF($W$1="Cenaze İzni",$AC$24,
IF($W$1="Doğal Afet İzni",$AC$25,
IF($W$1="Engelli Çocuk İzni",$AC$26,
IF($W$1="Evlat Edinme İzni",$AC$27,
IF($W$1="Evlilik İzni",$AC$28,
IF($W$1="İş Arama İzni",$AC$29,
IF($W$1="Mazeret İzni",$AC$30,
IF($W$1="Süt İzni",$AC$31,
IF($W$1="Ücretli Sendikal İzin ve Sendika Temsilci Sayısı",$AC$32,
IF($W$1="Ücretli Yıllık İzin",$AC$33,
IF($W$1="Yol İzni",$AC$34))))))))))))))</f>
        <v>a) 01.01.2009 Tarihinden Önce İşe Başlayanlar İçin:
Hizmeti 6 ay olanlar için 0 iş günü ücretli yıllık izin verilir.
Hizmeti 1-5 yıl olanlar için 14 iş günü ücretli yıllık izin verilir.
Hizmeti 5-10 yıl olanlar için 23 iş günü ücretli yıllık izin verilir.
Hizmeti 10-15 yıl olanlar için 23 iş günü ücretli yıllık izin verilir.
Hizmeti 15 yıldan fazla olanlar için 26 iş günü ücretli yıllık izin verilir.
b) 01.01.2009 Tarihinden Sonra İşe Başlayanlar İçin:
Hizmeti 6 ay olanlar için 0 iş günü ücretli yıllık izin verilir.
Hizmeti 1-5 yıl olanlar için 14 iş günü ücretli yıllık izin verilir.
Hizmeti 5-10 yıl olanlar için 20 iş günü ücretli yıllık izin verilir.
Hizmeti 10-15 yıl olanlar için 20 iş günü ücretli yıllık izin verilir.
Hizmeti 15 yıldan fazla olanlar için 26 iş günü ücretli yıllık izin verilir.</v>
      </c>
      <c r="Z2" s="60"/>
      <c r="AA2" s="57"/>
      <c r="AB2" s="19" t="s">
        <v>3</v>
      </c>
      <c r="AC2" s="20">
        <f t="shared" ca="1" si="0"/>
        <v>0</v>
      </c>
      <c r="AD2" s="20">
        <f ca="1">COUNTIF(U1,"Ocak")*(AR15)
+COUNTIF(U1,"Şubat")*(AR16)
+COUNTIF(U1,"Mart")*(AR17)
+COUNTIF(U1,"Nisan")*(AR18)
+COUNTIF(U1,"Mayıs")*(AR19)
+COUNTIF(U1,"Haziran")*(AR20)
+COUNTIF(U1,"Temmuz")*(AR21)
+COUNTIF(U1,"Ağustos")*(AR22)
+COUNTIF(U1,"Eylül")*(AR23)
+COUNTIF(U1,"Ekim")*(AR24)
+COUNTIF(U1,"Kasım")*(AR25)
+COUNTIF(U1,"Aralık")*(AR26)
+COUNTIF(U1,"Yıllık Toplam")*(AR27)
+COUNTIF(U1,"Yıllık Ortalama")*(AR28)</f>
        <v>0</v>
      </c>
      <c r="AE2" s="22">
        <f>(10%)</f>
        <v>0.1</v>
      </c>
      <c r="AF2" s="19" t="s">
        <v>0</v>
      </c>
      <c r="AG2" s="20">
        <f>($AG$8*$AE$2)</f>
        <v>3303</v>
      </c>
      <c r="AH2" s="20">
        <f>($AH$8*$AE$2)</f>
        <v>3303</v>
      </c>
      <c r="AI2" s="20">
        <f t="shared" si="1"/>
        <v>0</v>
      </c>
      <c r="AJ2" s="20">
        <f t="shared" ref="AJ2:AJ12" si="11">(AI2*0.00759*-1)</f>
        <v>0</v>
      </c>
      <c r="AK2" s="20">
        <f t="shared" si="2"/>
        <v>7800</v>
      </c>
      <c r="AL2" s="20">
        <f t="shared" si="3"/>
        <v>4108</v>
      </c>
      <c r="AM2" s="20">
        <f t="shared" ref="AM2:AM12" si="12">(AK2-AL2)</f>
        <v>3692</v>
      </c>
      <c r="AN2" s="20">
        <f t="shared" ref="AN2:AN12" si="13">(AM2*0.14*-1)</f>
        <v>-516.88</v>
      </c>
      <c r="AO2" s="20">
        <f t="shared" ref="AO2:AO12" si="14">(AM2*0.01*-1)</f>
        <v>-36.92</v>
      </c>
      <c r="AP2" s="20">
        <f t="shared" si="4"/>
        <v>7246.2</v>
      </c>
      <c r="AQ2" s="20">
        <f t="shared" si="5"/>
        <v>7246.2</v>
      </c>
      <c r="AR2" s="20">
        <f t="shared" ref="AR2:AR12" si="15">IF(AP2-AQ2&lt;=0,0,AP2-AQ2)</f>
        <v>0</v>
      </c>
      <c r="AS2" s="20">
        <f t="shared" ca="1" si="6"/>
        <v>0</v>
      </c>
      <c r="AT2" s="21">
        <v>30</v>
      </c>
      <c r="AU2" s="20">
        <f t="shared" ca="1" si="7"/>
        <v>4228.5042872529402</v>
      </c>
      <c r="AV2" s="20">
        <f>(2748/30*15+3298/30*15)</f>
        <v>3023</v>
      </c>
      <c r="AW2" s="21">
        <v>10</v>
      </c>
      <c r="AX2" s="20">
        <f t="shared" si="9"/>
        <v>27626.666666666664</v>
      </c>
      <c r="AY2" s="20">
        <f>(0)</f>
        <v>0</v>
      </c>
      <c r="AZ2" s="20">
        <f t="shared" ca="1" si="10"/>
        <v>0</v>
      </c>
      <c r="BA2" s="21">
        <v>30</v>
      </c>
      <c r="BH2" s="19">
        <v>0</v>
      </c>
      <c r="BI2" s="23">
        <v>0</v>
      </c>
      <c r="BJ2" s="24">
        <v>0</v>
      </c>
    </row>
    <row r="3" spans="1:62" ht="39.950000000000003" customHeight="1" x14ac:dyDescent="0.25">
      <c r="A3" s="59"/>
      <c r="B3" s="59"/>
      <c r="C3" s="51"/>
      <c r="D3" s="51"/>
      <c r="E3" s="53"/>
      <c r="F3" s="51"/>
      <c r="G3" s="55"/>
      <c r="H3" s="51"/>
      <c r="I3" s="51"/>
      <c r="J3" s="51"/>
      <c r="K3" s="51"/>
      <c r="L3" s="51"/>
      <c r="M3" s="70"/>
      <c r="N3" s="51"/>
      <c r="O3" s="51"/>
      <c r="P3" s="51"/>
      <c r="Q3" s="51"/>
      <c r="R3" s="51"/>
      <c r="S3" s="51"/>
      <c r="T3" s="51"/>
      <c r="U3" s="65"/>
      <c r="V3" s="69"/>
      <c r="W3" s="72"/>
      <c r="X3" s="71"/>
      <c r="Y3" s="61"/>
      <c r="Z3" s="60"/>
      <c r="AA3" s="57"/>
      <c r="AB3" s="19" t="s">
        <v>64</v>
      </c>
      <c r="AC3" s="20">
        <f t="shared" ca="1" si="0"/>
        <v>0</v>
      </c>
      <c r="AD3" s="20">
        <f ca="1">COUNTIF(U1,"Ocak")*(R15)
+COUNTIF(U1,"Şubat")*(R16)
+COUNTIF(U1,"Mart")*(R17)
+COUNTIF(U1,"Nisan")*(R18)
+COUNTIF(U1,"Mayıs")*(R19)
+COUNTIF(U1,"Haziran")*(R20)
+COUNTIF(U1,"Temmuz")*(R21)
+COUNTIF(U1,"Ağustos")*(R22)
+COUNTIF(U1,"Eylül")*(R23)
+COUNTIF(U1,"Ekim")*(R24)
+COUNTIF(U1,"Kasım")*(R25)
+COUNTIF(U1,"Aralık")*(R26)
+COUNTIF(U1,"Yıllık Toplam")*(R27)
+COUNTIF(U1,"Yıllık Ortalama")*(R28)</f>
        <v>0</v>
      </c>
      <c r="AE3" s="22">
        <f>(2%)</f>
        <v>0.02</v>
      </c>
      <c r="AF3" s="19" t="s">
        <v>0</v>
      </c>
      <c r="AG3" s="20">
        <f>($AG$8*$AE$3)</f>
        <v>660.6</v>
      </c>
      <c r="AH3" s="20">
        <f>($AH$8*$AE$3)</f>
        <v>660.6</v>
      </c>
      <c r="AI3" s="20">
        <f t="shared" si="1"/>
        <v>0</v>
      </c>
      <c r="AJ3" s="20">
        <f t="shared" si="11"/>
        <v>0</v>
      </c>
      <c r="AK3" s="20">
        <f t="shared" si="2"/>
        <v>7800</v>
      </c>
      <c r="AL3" s="20">
        <f t="shared" si="3"/>
        <v>4108</v>
      </c>
      <c r="AM3" s="20">
        <f t="shared" si="12"/>
        <v>3692</v>
      </c>
      <c r="AN3" s="20">
        <f t="shared" si="13"/>
        <v>-516.88</v>
      </c>
      <c r="AO3" s="20">
        <f t="shared" si="14"/>
        <v>-36.92</v>
      </c>
      <c r="AP3" s="20">
        <f t="shared" si="4"/>
        <v>7246.2</v>
      </c>
      <c r="AQ3" s="20">
        <f t="shared" si="5"/>
        <v>7246.2</v>
      </c>
      <c r="AR3" s="20">
        <f t="shared" si="15"/>
        <v>0</v>
      </c>
      <c r="AS3" s="20">
        <f t="shared" ca="1" si="6"/>
        <v>0</v>
      </c>
      <c r="AT3" s="21">
        <v>30</v>
      </c>
      <c r="AU3" s="20">
        <f t="shared" ca="1" si="7"/>
        <v>4845.3806980855597</v>
      </c>
      <c r="AV3" s="20">
        <f>3298/30*AT3</f>
        <v>3298</v>
      </c>
      <c r="AW3" s="21">
        <v>10</v>
      </c>
      <c r="AX3" s="20">
        <f t="shared" si="9"/>
        <v>32599.466666666664</v>
      </c>
      <c r="AY3" s="20">
        <f>(AX1+AX2+AX3)</f>
        <v>87852.799999999988</v>
      </c>
      <c r="AZ3" s="20">
        <f t="shared" ca="1" si="10"/>
        <v>59796.856522435373</v>
      </c>
      <c r="BA3" s="21">
        <v>30</v>
      </c>
      <c r="BH3" s="19">
        <v>1</v>
      </c>
      <c r="BI3" s="23">
        <v>0.5</v>
      </c>
      <c r="BJ3" s="24">
        <v>0.03</v>
      </c>
    </row>
    <row r="4" spans="1:62" ht="39.950000000000003" customHeight="1" x14ac:dyDescent="0.25">
      <c r="A4" s="59"/>
      <c r="B4" s="59"/>
      <c r="C4" s="51"/>
      <c r="D4" s="51"/>
      <c r="E4" s="53"/>
      <c r="F4" s="51"/>
      <c r="G4" s="55"/>
      <c r="H4" s="51"/>
      <c r="I4" s="51"/>
      <c r="J4" s="51"/>
      <c r="K4" s="51"/>
      <c r="L4" s="51"/>
      <c r="M4" s="70"/>
      <c r="N4" s="51"/>
      <c r="O4" s="51"/>
      <c r="P4" s="51"/>
      <c r="Q4" s="51"/>
      <c r="R4" s="51"/>
      <c r="S4" s="51"/>
      <c r="T4" s="51"/>
      <c r="U4" s="65"/>
      <c r="V4" s="69"/>
      <c r="W4" s="72"/>
      <c r="X4" s="71"/>
      <c r="Y4" s="61"/>
      <c r="Z4" s="60"/>
      <c r="AA4" s="57"/>
      <c r="AB4" s="19" t="s">
        <v>65</v>
      </c>
      <c r="AC4" s="20">
        <f t="shared" ref="AC4" ca="1" si="16">IF(AD4&gt;0,AD4,AD4*-1)</f>
        <v>0</v>
      </c>
      <c r="AD4" s="20">
        <f ca="1">COUNTIF(U1,"Ocak")*(S15)
+COUNTIF(U1,"Şubat")*(S16)
+COUNTIF(U1,"Mart")*(S17)
+COUNTIF(U1,"Nisan")*(S18)
+COUNTIF(U1,"Mayıs")*(S19)
+COUNTIF(U1,"Haziran")*(S20)
+COUNTIF(U1,"Temmuz")*(S21)
+COUNTIF(U1,"Ağustos")*(S22)
+COUNTIF(U1,"Eylül")*(S23)
+COUNTIF(U1,"Ekim")*(S24)
+COUNTIF(U1,"Kasım")*(S25)
+COUNTIF(U1,"Aralık")*(S26)
+COUNTIF(U1,"Yıllık Toplam")*(S27)
+COUNTIF(U1,"Yıllık Ortalama")*(S28)</f>
        <v>0</v>
      </c>
      <c r="AE4" s="22">
        <f>(1%)</f>
        <v>0.01</v>
      </c>
      <c r="AF4" s="19" t="s">
        <v>0</v>
      </c>
      <c r="AG4" s="20">
        <f>($AG$8*$AE$4)</f>
        <v>330.3</v>
      </c>
      <c r="AH4" s="20">
        <f>($AH$8*$AE$4)</f>
        <v>330.3</v>
      </c>
      <c r="AI4" s="20">
        <f t="shared" si="1"/>
        <v>0</v>
      </c>
      <c r="AJ4" s="20">
        <f t="shared" si="11"/>
        <v>0</v>
      </c>
      <c r="AK4" s="20">
        <f t="shared" si="2"/>
        <v>7800</v>
      </c>
      <c r="AL4" s="20">
        <f t="shared" si="3"/>
        <v>4108</v>
      </c>
      <c r="AM4" s="20">
        <f t="shared" si="12"/>
        <v>3692</v>
      </c>
      <c r="AN4" s="20">
        <f t="shared" si="13"/>
        <v>-516.88</v>
      </c>
      <c r="AO4" s="20">
        <f t="shared" si="14"/>
        <v>-36.92</v>
      </c>
      <c r="AP4" s="20">
        <f t="shared" si="4"/>
        <v>7246.2</v>
      </c>
      <c r="AQ4" s="20">
        <f t="shared" si="5"/>
        <v>7246.2</v>
      </c>
      <c r="AR4" s="20">
        <f t="shared" si="15"/>
        <v>0</v>
      </c>
      <c r="AS4" s="20">
        <f t="shared" ca="1" si="6"/>
        <v>0</v>
      </c>
      <c r="AT4" s="21">
        <v>30</v>
      </c>
      <c r="AU4" s="20">
        <f t="shared" ca="1" si="7"/>
        <v>4991.4842843759388</v>
      </c>
      <c r="AV4" s="20">
        <f t="shared" ref="AV4:AV11" si="17">3298/30*AT4</f>
        <v>3298</v>
      </c>
      <c r="AW4" s="21">
        <v>10</v>
      </c>
      <c r="AX4" s="20">
        <f t="shared" si="9"/>
        <v>32599.466666666664</v>
      </c>
      <c r="AY4" s="20">
        <f>(0)</f>
        <v>0</v>
      </c>
      <c r="AZ4" s="20">
        <f t="shared" ca="1" si="10"/>
        <v>0</v>
      </c>
      <c r="BA4" s="21">
        <v>30</v>
      </c>
      <c r="BH4" s="19">
        <v>2</v>
      </c>
      <c r="BI4" s="23">
        <v>1</v>
      </c>
      <c r="BJ4" s="24">
        <v>0.04</v>
      </c>
    </row>
    <row r="5" spans="1:62" ht="39.950000000000003" customHeight="1" x14ac:dyDescent="0.25">
      <c r="A5" s="59"/>
      <c r="B5" s="59"/>
      <c r="C5" s="51"/>
      <c r="D5" s="51"/>
      <c r="E5" s="53"/>
      <c r="F5" s="51"/>
      <c r="G5" s="55"/>
      <c r="H5" s="51"/>
      <c r="I5" s="51"/>
      <c r="J5" s="51"/>
      <c r="K5" s="51"/>
      <c r="L5" s="51"/>
      <c r="M5" s="70"/>
      <c r="N5" s="51"/>
      <c r="O5" s="51"/>
      <c r="P5" s="51"/>
      <c r="Q5" s="51"/>
      <c r="R5" s="51"/>
      <c r="S5" s="51"/>
      <c r="T5" s="51"/>
      <c r="U5" s="65"/>
      <c r="V5" s="69"/>
      <c r="W5" s="72"/>
      <c r="X5" s="71"/>
      <c r="Y5" s="61"/>
      <c r="Z5" s="60"/>
      <c r="AA5" s="57"/>
      <c r="AB5" s="19" t="s">
        <v>66</v>
      </c>
      <c r="AC5" s="20">
        <f t="shared" ref="AC5:AC10" ca="1" si="18">IF(AD5&gt;0,AD5,AD5*-1)</f>
        <v>0</v>
      </c>
      <c r="AD5" s="20">
        <f ca="1">COUNTIF(U1,"Ocak")*(T15)
+COUNTIF(U1,"Şubat")*(T16)
+COUNTIF(U1,"Mart")*(T17)
+COUNTIF(U1,"Nisan")*(T18)
+COUNTIF(U1,"Mayıs")*(T19)
+COUNTIF(U1,"Haziran")*(T20)
+COUNTIF(U1,"Temmuz")*(T21)
+COUNTIF(U1,"Ağustos")*(T22)
+COUNTIF(U1,"Eylül")*(T23)
+COUNTIF(U1,"Ekim")*(T24)
+COUNTIF(U1,"Kasım")*(T25)
+COUNTIF(U1,"Aralık")*(T26)
+COUNTIF(U1,"Yıllık Toplam")*(T27)
+COUNTIF(U1,"Yıllık Ortalama")*(T28)</f>
        <v>0</v>
      </c>
      <c r="AE5" s="19" t="s">
        <v>0</v>
      </c>
      <c r="AF5" s="19" t="s">
        <v>0</v>
      </c>
      <c r="AG5" s="20">
        <f>($AG$16)</f>
        <v>3154.6307830000001</v>
      </c>
      <c r="AH5" s="20">
        <f>($AH$16)</f>
        <v>3154.6307830000001</v>
      </c>
      <c r="AI5" s="20">
        <f t="shared" si="1"/>
        <v>0</v>
      </c>
      <c r="AJ5" s="20">
        <f t="shared" si="11"/>
        <v>0</v>
      </c>
      <c r="AK5" s="20">
        <f t="shared" si="2"/>
        <v>7800</v>
      </c>
      <c r="AL5" s="20">
        <f t="shared" si="3"/>
        <v>4108</v>
      </c>
      <c r="AM5" s="20">
        <f t="shared" si="12"/>
        <v>3692</v>
      </c>
      <c r="AN5" s="20">
        <f t="shared" si="13"/>
        <v>-516.88</v>
      </c>
      <c r="AO5" s="20">
        <f t="shared" si="14"/>
        <v>-36.92</v>
      </c>
      <c r="AP5" s="20">
        <f t="shared" si="4"/>
        <v>7246.2</v>
      </c>
      <c r="AQ5" s="20">
        <f t="shared" si="5"/>
        <v>7246.2</v>
      </c>
      <c r="AR5" s="20">
        <f t="shared" si="15"/>
        <v>0</v>
      </c>
      <c r="AS5" s="20">
        <f t="shared" ca="1" si="6"/>
        <v>0</v>
      </c>
      <c r="AT5" s="21">
        <v>30</v>
      </c>
      <c r="AU5" s="20">
        <f t="shared" ca="1" si="7"/>
        <v>5380.8878954495767</v>
      </c>
      <c r="AV5" s="20">
        <f t="shared" si="17"/>
        <v>3298</v>
      </c>
      <c r="AW5" s="21">
        <v>10</v>
      </c>
      <c r="AX5" s="20">
        <f t="shared" si="9"/>
        <v>32599.466666666664</v>
      </c>
      <c r="AY5" s="20">
        <f>(0)</f>
        <v>0</v>
      </c>
      <c r="AZ5" s="20">
        <f t="shared" ca="1" si="10"/>
        <v>0</v>
      </c>
      <c r="BA5" s="21">
        <v>30</v>
      </c>
      <c r="BH5" s="19">
        <v>3</v>
      </c>
      <c r="BI5" s="23">
        <v>1.5</v>
      </c>
      <c r="BJ5" s="24">
        <v>0.05</v>
      </c>
    </row>
    <row r="6" spans="1:62" ht="39.950000000000003" customHeight="1" x14ac:dyDescent="0.25">
      <c r="A6" s="59"/>
      <c r="B6" s="59"/>
      <c r="C6" s="51"/>
      <c r="D6" s="51"/>
      <c r="E6" s="53"/>
      <c r="F6" s="51"/>
      <c r="G6" s="55"/>
      <c r="H6" s="51"/>
      <c r="I6" s="51"/>
      <c r="J6" s="51"/>
      <c r="K6" s="51"/>
      <c r="L6" s="51"/>
      <c r="M6" s="70"/>
      <c r="N6" s="51"/>
      <c r="O6" s="51"/>
      <c r="P6" s="51"/>
      <c r="Q6" s="51"/>
      <c r="R6" s="51"/>
      <c r="S6" s="51"/>
      <c r="T6" s="51"/>
      <c r="U6" s="65"/>
      <c r="V6" s="69"/>
      <c r="W6" s="72"/>
      <c r="X6" s="71"/>
      <c r="Y6" s="61"/>
      <c r="Z6" s="60"/>
      <c r="AA6" s="57"/>
      <c r="AB6" s="19" t="s">
        <v>67</v>
      </c>
      <c r="AC6" s="20">
        <f t="shared" ca="1" si="18"/>
        <v>0</v>
      </c>
      <c r="AD6" s="20">
        <f ca="1">COUNTIF(U1,"Ocak")*(AX15)
+COUNTIF(U1,"Şubat")*(AX16)
+COUNTIF(U1,"Mart")*(AX17)
+COUNTIF(U1,"Nisan")*(AX18)
+COUNTIF(U1,"Mayıs")*(AX19)
+COUNTIF(U1,"Haziran")*(AX20)
+COUNTIF(U1,"Temmuz")*(AX21)
+COUNTIF(U1,"Ağustos")*(AX22)
+COUNTIF(U1,"Eylül")*(AX23)
+COUNTIF(U1,"Ekim")*(AX24)
+COUNTIF(U1,"Kasım")*(AX25)
+COUNTIF(U1,"Aralık")*(AX26)
+COUNTIF(U1,"Yıllık Toplam")*(AX27)
+COUNTIF(U1,"Yıllık Ortalama")*(AX28)</f>
        <v>0</v>
      </c>
      <c r="AE6" s="19" t="s">
        <v>0</v>
      </c>
      <c r="AF6" s="19" t="s">
        <v>0</v>
      </c>
      <c r="AG6" s="20">
        <f>($AG$17)</f>
        <v>693.93550000000005</v>
      </c>
      <c r="AH6" s="20">
        <f>($AH$17)</f>
        <v>693.93550000000005</v>
      </c>
      <c r="AI6" s="20">
        <f t="shared" si="1"/>
        <v>0</v>
      </c>
      <c r="AJ6" s="20">
        <f t="shared" si="11"/>
        <v>0</v>
      </c>
      <c r="AK6" s="20">
        <f t="shared" si="2"/>
        <v>7800</v>
      </c>
      <c r="AL6" s="20">
        <f t="shared" si="3"/>
        <v>4108</v>
      </c>
      <c r="AM6" s="20">
        <f t="shared" si="12"/>
        <v>3692</v>
      </c>
      <c r="AN6" s="20">
        <f t="shared" si="13"/>
        <v>-516.88</v>
      </c>
      <c r="AO6" s="20">
        <f t="shared" si="14"/>
        <v>-36.92</v>
      </c>
      <c r="AP6" s="20">
        <f t="shared" si="4"/>
        <v>7246.2</v>
      </c>
      <c r="AQ6" s="20">
        <f t="shared" si="5"/>
        <v>7246.2</v>
      </c>
      <c r="AR6" s="20">
        <f t="shared" si="15"/>
        <v>0</v>
      </c>
      <c r="AS6" s="20">
        <f t="shared" ca="1" si="6"/>
        <v>0</v>
      </c>
      <c r="AT6" s="21">
        <v>30</v>
      </c>
      <c r="AU6" s="20">
        <f t="shared" ca="1" si="7"/>
        <v>5380.8878954495767</v>
      </c>
      <c r="AV6" s="20">
        <f t="shared" si="17"/>
        <v>3298</v>
      </c>
      <c r="AW6" s="21">
        <v>10</v>
      </c>
      <c r="AX6" s="20">
        <f t="shared" si="9"/>
        <v>32599.466666666664</v>
      </c>
      <c r="AY6" s="20">
        <f t="shared" ref="AY6:AY12" si="19">(AX4+AX5+AX6)</f>
        <v>97798.399999999994</v>
      </c>
      <c r="AZ6" s="20">
        <f t="shared" ca="1" si="10"/>
        <v>59941.617343999991</v>
      </c>
      <c r="BA6" s="21">
        <v>30</v>
      </c>
      <c r="BH6" s="19">
        <v>4</v>
      </c>
      <c r="BI6" s="23">
        <v>2</v>
      </c>
      <c r="BJ6" s="24">
        <v>0.06</v>
      </c>
    </row>
    <row r="7" spans="1:62" ht="39.950000000000003" customHeight="1" x14ac:dyDescent="0.25">
      <c r="A7" s="59"/>
      <c r="B7" s="59"/>
      <c r="C7" s="51"/>
      <c r="D7" s="51"/>
      <c r="E7" s="53"/>
      <c r="F7" s="51"/>
      <c r="G7" s="55"/>
      <c r="H7" s="51"/>
      <c r="I7" s="51"/>
      <c r="J7" s="51"/>
      <c r="K7" s="51"/>
      <c r="L7" s="51"/>
      <c r="M7" s="70"/>
      <c r="N7" s="51"/>
      <c r="O7" s="51"/>
      <c r="P7" s="51"/>
      <c r="Q7" s="51"/>
      <c r="R7" s="51"/>
      <c r="S7" s="51"/>
      <c r="T7" s="51"/>
      <c r="U7" s="65"/>
      <c r="V7" s="69"/>
      <c r="W7" s="72"/>
      <c r="X7" s="71"/>
      <c r="Y7" s="61"/>
      <c r="Z7" s="60"/>
      <c r="AA7" s="57"/>
      <c r="AB7" s="19" t="s">
        <v>6</v>
      </c>
      <c r="AC7" s="20">
        <f t="shared" ca="1" si="18"/>
        <v>7246.199999999998</v>
      </c>
      <c r="AD7" s="20">
        <f ca="1">COUNTIF(U1,"Ocak")*(AZ15)
+COUNTIF(U1,"Şubat")*(AZ16)
+COUNTIF(U1,"Mart")*(AZ17)
+COUNTIF(U1,"Nisan")*(AZ18)
+COUNTIF(U1,"Mayıs")*(AZ19)
+COUNTIF(U1,"Haziran")*(AZ20)
+COUNTIF(U1,"Temmuz")*(AZ21)
+COUNTIF(U1,"Ağustos")*(AZ22)
+COUNTIF(U1,"Eylül")*(AZ23)
+COUNTIF(U1,"Ekim")*(AZ24)
+COUNTIF(U1,"Kasım")*(AZ25)
+COUNTIF(U1,"Aralık")*(AZ26)
+COUNTIF(U1,"Yıllık Toplam")*(AZ27)
+COUNTIF(U1,"Yıllık Ortalama")*(AZ28)</f>
        <v>7246.199999999998</v>
      </c>
      <c r="AE7" s="19" t="s">
        <v>0</v>
      </c>
      <c r="AF7" s="19" t="s">
        <v>0</v>
      </c>
      <c r="AG7" s="20">
        <f>($AG$18)</f>
        <v>346.96775000000002</v>
      </c>
      <c r="AH7" s="20">
        <f>($AH$18)</f>
        <v>346.96775000000002</v>
      </c>
      <c r="AI7" s="20">
        <f t="shared" si="1"/>
        <v>0</v>
      </c>
      <c r="AJ7" s="20">
        <f t="shared" si="11"/>
        <v>0</v>
      </c>
      <c r="AK7" s="20">
        <f t="shared" si="2"/>
        <v>7800</v>
      </c>
      <c r="AL7" s="20">
        <f t="shared" ref="AL7:AL12" si="20">IF($AH$13*H21&gt;=AK7,AK7,$AH$13*H21)</f>
        <v>4108</v>
      </c>
      <c r="AM7" s="20">
        <f t="shared" si="12"/>
        <v>3692</v>
      </c>
      <c r="AN7" s="20">
        <f t="shared" si="13"/>
        <v>-516.88</v>
      </c>
      <c r="AO7" s="20">
        <f t="shared" si="14"/>
        <v>-36.92</v>
      </c>
      <c r="AP7" s="20">
        <f t="shared" si="4"/>
        <v>7246.2</v>
      </c>
      <c r="AQ7" s="20">
        <f t="shared" ref="AQ7:AQ12" si="21">IF($AH$14*H21&gt;=AP7,AP7,$AH$14*H21)</f>
        <v>7246.2</v>
      </c>
      <c r="AR7" s="20">
        <f t="shared" si="15"/>
        <v>0</v>
      </c>
      <c r="AS7" s="20">
        <f t="shared" ca="1" si="6"/>
        <v>0</v>
      </c>
      <c r="AT7" s="21">
        <v>30</v>
      </c>
      <c r="AU7" s="20">
        <f t="shared" ca="1" si="7"/>
        <v>5380.8878954495767</v>
      </c>
      <c r="AV7" s="20">
        <f t="shared" si="17"/>
        <v>3298</v>
      </c>
      <c r="AW7" s="21">
        <v>10</v>
      </c>
      <c r="AX7" s="20">
        <f t="shared" si="9"/>
        <v>32599.466666666664</v>
      </c>
      <c r="AY7" s="20">
        <f>(0)</f>
        <v>0</v>
      </c>
      <c r="AZ7" s="20">
        <f t="shared" ca="1" si="10"/>
        <v>0</v>
      </c>
      <c r="BA7" s="21">
        <v>30</v>
      </c>
      <c r="BH7" s="19">
        <v>5</v>
      </c>
      <c r="BI7" s="23">
        <v>2.5</v>
      </c>
      <c r="BJ7" s="24">
        <v>7.0000000000000007E-2</v>
      </c>
    </row>
    <row r="8" spans="1:62" ht="39.950000000000003" customHeight="1" x14ac:dyDescent="0.25">
      <c r="A8" s="59"/>
      <c r="B8" s="59"/>
      <c r="C8" s="51"/>
      <c r="D8" s="51"/>
      <c r="E8" s="53"/>
      <c r="F8" s="51"/>
      <c r="G8" s="55"/>
      <c r="H8" s="51"/>
      <c r="I8" s="51"/>
      <c r="J8" s="51"/>
      <c r="K8" s="51"/>
      <c r="L8" s="51"/>
      <c r="M8" s="70"/>
      <c r="N8" s="51"/>
      <c r="O8" s="51"/>
      <c r="P8" s="51"/>
      <c r="Q8" s="51"/>
      <c r="R8" s="51"/>
      <c r="S8" s="51"/>
      <c r="T8" s="51"/>
      <c r="U8" s="65"/>
      <c r="V8" s="69"/>
      <c r="W8" s="72"/>
      <c r="X8" s="71"/>
      <c r="Y8" s="61"/>
      <c r="Z8" s="60"/>
      <c r="AA8" s="57"/>
      <c r="AB8" s="19" t="s">
        <v>16</v>
      </c>
      <c r="AC8" s="20">
        <f t="shared" si="18"/>
        <v>3229.25</v>
      </c>
      <c r="AD8" s="20">
        <f>COUNTIF(U1,"Ocak")*(AV1)
+COUNTIF(U1,"Şubat")*(AV2)
+COUNTIF(U1,"Mart")*(AV3)
+COUNTIF(U1,"Nisan")*(AV4)
+COUNTIF(U1,"Mayıs")*(AV5)
+COUNTIF(U1,"Haziran")*(AV6)
+COUNTIF(U1,"Temmuz")*(AV7)
+COUNTIF(U1,"Ağustos")*(AV8)
+COUNTIF(U1,"Eylül")*(AV9)
+COUNTIF(U1,"Ekim")*(AV10)
+COUNTIF(U1,"Kasım")*(AV11)
+COUNTIF(U1,"Aralık")*(AV12)
+COUNTIF(U1,"Yıllık Toplam")*(AV13)
+COUNTIF(U1,"Yıllık Ortalama")*(AV14)</f>
        <v>3229.25</v>
      </c>
      <c r="AE8" s="20" t="s">
        <v>0</v>
      </c>
      <c r="AF8" s="19" t="s">
        <v>0</v>
      </c>
      <c r="AG8" s="20">
        <v>33030</v>
      </c>
      <c r="AH8" s="20">
        <v>33030</v>
      </c>
      <c r="AI8" s="20">
        <f t="shared" si="1"/>
        <v>0</v>
      </c>
      <c r="AJ8" s="20">
        <f t="shared" si="11"/>
        <v>0</v>
      </c>
      <c r="AK8" s="20">
        <f t="shared" si="2"/>
        <v>7800</v>
      </c>
      <c r="AL8" s="20">
        <f t="shared" si="20"/>
        <v>4108</v>
      </c>
      <c r="AM8" s="20">
        <f t="shared" si="12"/>
        <v>3692</v>
      </c>
      <c r="AN8" s="20">
        <f t="shared" si="13"/>
        <v>-516.88</v>
      </c>
      <c r="AO8" s="20">
        <f t="shared" si="14"/>
        <v>-36.92</v>
      </c>
      <c r="AP8" s="20">
        <f t="shared" si="4"/>
        <v>7246.2</v>
      </c>
      <c r="AQ8" s="20">
        <f t="shared" si="21"/>
        <v>7246.2</v>
      </c>
      <c r="AR8" s="20">
        <f t="shared" si="15"/>
        <v>0</v>
      </c>
      <c r="AS8" s="20">
        <f t="shared" ca="1" si="6"/>
        <v>0</v>
      </c>
      <c r="AT8" s="21">
        <v>30</v>
      </c>
      <c r="AU8" s="20">
        <f t="shared" ca="1" si="7"/>
        <v>5380.8878954495767</v>
      </c>
      <c r="AV8" s="20">
        <f t="shared" si="17"/>
        <v>3298</v>
      </c>
      <c r="AW8" s="21">
        <v>10</v>
      </c>
      <c r="AX8" s="20">
        <f t="shared" si="9"/>
        <v>32599.466666666664</v>
      </c>
      <c r="AY8" s="20">
        <f>(0)</f>
        <v>0</v>
      </c>
      <c r="AZ8" s="20">
        <f t="shared" ca="1" si="10"/>
        <v>0</v>
      </c>
      <c r="BA8" s="21">
        <v>30</v>
      </c>
      <c r="BH8" s="19">
        <v>6</v>
      </c>
      <c r="BI8" s="23">
        <v>3</v>
      </c>
      <c r="BJ8" s="24">
        <v>0.08</v>
      </c>
    </row>
    <row r="9" spans="1:62" ht="39.950000000000003" customHeight="1" x14ac:dyDescent="0.25">
      <c r="A9" s="59"/>
      <c r="B9" s="59"/>
      <c r="C9" s="51"/>
      <c r="D9" s="51"/>
      <c r="E9" s="53"/>
      <c r="F9" s="51"/>
      <c r="G9" s="55"/>
      <c r="H9" s="51"/>
      <c r="I9" s="51"/>
      <c r="J9" s="51"/>
      <c r="K9" s="51"/>
      <c r="L9" s="51"/>
      <c r="M9" s="70"/>
      <c r="N9" s="51"/>
      <c r="O9" s="51"/>
      <c r="P9" s="51"/>
      <c r="Q9" s="51"/>
      <c r="R9" s="51"/>
      <c r="S9" s="51"/>
      <c r="T9" s="51"/>
      <c r="U9" s="65"/>
      <c r="V9" s="69"/>
      <c r="W9" s="72"/>
      <c r="X9" s="71"/>
      <c r="Y9" s="61"/>
      <c r="Z9" s="60"/>
      <c r="AA9" s="57"/>
      <c r="AB9" s="19" t="s">
        <v>21</v>
      </c>
      <c r="AC9" s="20">
        <f t="shared" ca="1" si="18"/>
        <v>20967.502668602949</v>
      </c>
      <c r="AD9" s="20">
        <f ca="1">COUNTIF(U1,"Ocak")*(AZ1)
+COUNTIF(U1,"Şubat")*(AZ2)
+COUNTIF(U1,"Mart")*(AZ3)
+COUNTIF(U1,"Nisan")*(AZ4)
+COUNTIF(U1,"Mayıs")*(AZ5)
+COUNTIF(U1,"Haziran")*(AZ6)
+COUNTIF(U1,"Temmuz")*(AZ7)
+COUNTIF(U1,"Ağustos")*(AZ8)
+COUNTIF(U1,"Eylül")*(AZ9)
+COUNTIF(U1,"Ekim")*(AZ10)
+COUNTIF(U1,"Kasım")*(AZ11)
+COUNTIF(U1,"Aralık")*(AZ12)
+COUNTIF(U1,"Yıllık Toplam")*(AZ13)
+COUNTIF(U1,"Yıllık Ortalama")*(AZ14)</f>
        <v>20967.502668602949</v>
      </c>
      <c r="AE9" s="20" t="s">
        <v>0</v>
      </c>
      <c r="AF9" s="19" t="s">
        <v>0</v>
      </c>
      <c r="AG9" s="20">
        <v>0</v>
      </c>
      <c r="AH9" s="20">
        <v>0</v>
      </c>
      <c r="AI9" s="20">
        <f t="shared" si="1"/>
        <v>0</v>
      </c>
      <c r="AJ9" s="20">
        <f t="shared" si="11"/>
        <v>0</v>
      </c>
      <c r="AK9" s="20">
        <f t="shared" si="2"/>
        <v>7800</v>
      </c>
      <c r="AL9" s="20">
        <f t="shared" si="20"/>
        <v>4108</v>
      </c>
      <c r="AM9" s="20">
        <f t="shared" si="12"/>
        <v>3692</v>
      </c>
      <c r="AN9" s="20">
        <f t="shared" si="13"/>
        <v>-516.88</v>
      </c>
      <c r="AO9" s="20">
        <f t="shared" si="14"/>
        <v>-36.92</v>
      </c>
      <c r="AP9" s="20">
        <f t="shared" si="4"/>
        <v>7246.2</v>
      </c>
      <c r="AQ9" s="20">
        <f t="shared" si="21"/>
        <v>7246.2</v>
      </c>
      <c r="AR9" s="20">
        <f t="shared" si="15"/>
        <v>0</v>
      </c>
      <c r="AS9" s="20">
        <f t="shared" ca="1" si="6"/>
        <v>0</v>
      </c>
      <c r="AT9" s="21">
        <v>30</v>
      </c>
      <c r="AU9" s="20">
        <f t="shared" ca="1" si="7"/>
        <v>5380.8878954495767</v>
      </c>
      <c r="AV9" s="20">
        <f t="shared" si="17"/>
        <v>3298</v>
      </c>
      <c r="AW9" s="21">
        <v>10</v>
      </c>
      <c r="AX9" s="20">
        <f t="shared" si="9"/>
        <v>37489.386666666673</v>
      </c>
      <c r="AY9" s="20">
        <f t="shared" si="19"/>
        <v>102688.32000000001</v>
      </c>
      <c r="AZ9" s="20">
        <f t="shared" ca="1" si="10"/>
        <v>62938.698211199997</v>
      </c>
      <c r="BA9" s="21">
        <v>30</v>
      </c>
      <c r="BH9" s="19">
        <v>7</v>
      </c>
      <c r="BI9" s="23">
        <v>3.5</v>
      </c>
      <c r="BJ9" s="24">
        <v>0.09</v>
      </c>
    </row>
    <row r="10" spans="1:62" ht="39.950000000000003" customHeight="1" x14ac:dyDescent="0.25">
      <c r="A10" s="59"/>
      <c r="B10" s="59"/>
      <c r="C10" s="51"/>
      <c r="D10" s="51"/>
      <c r="E10" s="53"/>
      <c r="F10" s="51"/>
      <c r="G10" s="55"/>
      <c r="H10" s="51"/>
      <c r="I10" s="51"/>
      <c r="J10" s="51"/>
      <c r="K10" s="51"/>
      <c r="L10" s="51"/>
      <c r="M10" s="70"/>
      <c r="N10" s="51"/>
      <c r="O10" s="51"/>
      <c r="P10" s="51"/>
      <c r="Q10" s="51"/>
      <c r="R10" s="51"/>
      <c r="S10" s="51"/>
      <c r="T10" s="51"/>
      <c r="U10" s="65"/>
      <c r="V10" s="69"/>
      <c r="W10" s="72"/>
      <c r="X10" s="71"/>
      <c r="Y10" s="61"/>
      <c r="Z10" s="60"/>
      <c r="AA10" s="57"/>
      <c r="AB10" s="19" t="s">
        <v>7</v>
      </c>
      <c r="AC10" s="20">
        <f t="shared" ca="1" si="18"/>
        <v>4408.5804375888283</v>
      </c>
      <c r="AD10" s="20">
        <f ca="1">COUNTIF(U1,"Ocak")*(Q15)
+COUNTIF(U1,"Şubat")*(Q16)
+COUNTIF(U1,"Mart")*(Q17)
+COUNTIF(U1,"Nisan")*(Q18)
+COUNTIF(U1,"Mayıs")*(Q19)
+COUNTIF(U1,"Haziran")*(Q20)
+COUNTIF(U1,"Temmuz")*(Q21)
+COUNTIF(U1,"Ağustos")*(Q22)
+COUNTIF(U1,"Eylül")*(Q23)
+COUNTIF(U1,"Ekim")*(Q24)
+COUNTIF(U1,"Kasım")*(Q25)
+COUNTIF(U1,"Aralık")*(Q26)
+COUNTIF(U1,"Yıllık Toplam")*(Q27)
+COUNTIF(U1,"Yıllık Ortalama")*(Q28)</f>
        <v>4408.5804375888283</v>
      </c>
      <c r="AE10" s="20" t="s">
        <v>0</v>
      </c>
      <c r="AF10" s="19" t="s">
        <v>0</v>
      </c>
      <c r="AG10" s="20">
        <v>158</v>
      </c>
      <c r="AH10" s="20">
        <v>158</v>
      </c>
      <c r="AI10" s="20">
        <f t="shared" si="1"/>
        <v>0</v>
      </c>
      <c r="AJ10" s="20">
        <f t="shared" si="11"/>
        <v>0</v>
      </c>
      <c r="AK10" s="20">
        <f t="shared" si="2"/>
        <v>7800</v>
      </c>
      <c r="AL10" s="20">
        <f t="shared" si="20"/>
        <v>4108</v>
      </c>
      <c r="AM10" s="20">
        <f t="shared" si="12"/>
        <v>3692</v>
      </c>
      <c r="AN10" s="20">
        <f t="shared" si="13"/>
        <v>-516.88</v>
      </c>
      <c r="AO10" s="20">
        <f t="shared" si="14"/>
        <v>-36.92</v>
      </c>
      <c r="AP10" s="20">
        <f t="shared" si="4"/>
        <v>7246.2</v>
      </c>
      <c r="AQ10" s="20">
        <f t="shared" si="21"/>
        <v>7246.2</v>
      </c>
      <c r="AR10" s="20">
        <f t="shared" si="15"/>
        <v>0</v>
      </c>
      <c r="AS10" s="20">
        <f t="shared" ca="1" si="6"/>
        <v>0</v>
      </c>
      <c r="AT10" s="21">
        <v>30</v>
      </c>
      <c r="AU10" s="20">
        <f t="shared" ca="1" si="7"/>
        <v>5380.8878954495767</v>
      </c>
      <c r="AV10" s="20">
        <f t="shared" si="17"/>
        <v>3298</v>
      </c>
      <c r="AW10" s="21">
        <v>10</v>
      </c>
      <c r="AX10" s="20">
        <f t="shared" si="9"/>
        <v>37489.386666666673</v>
      </c>
      <c r="AY10" s="20">
        <f>(0)</f>
        <v>0</v>
      </c>
      <c r="AZ10" s="20">
        <f t="shared" ca="1" si="10"/>
        <v>0</v>
      </c>
      <c r="BA10" s="21">
        <v>30</v>
      </c>
      <c r="BH10" s="19">
        <v>8</v>
      </c>
      <c r="BI10" s="23">
        <v>4</v>
      </c>
      <c r="BJ10" s="24">
        <v>0.1</v>
      </c>
    </row>
    <row r="11" spans="1:62" ht="39.950000000000003" customHeight="1" x14ac:dyDescent="0.25">
      <c r="A11" s="59"/>
      <c r="B11" s="59"/>
      <c r="C11" s="51"/>
      <c r="D11" s="51"/>
      <c r="E11" s="53"/>
      <c r="F11" s="51"/>
      <c r="G11" s="55"/>
      <c r="H11" s="51"/>
      <c r="I11" s="51"/>
      <c r="J11" s="51"/>
      <c r="K11" s="51"/>
      <c r="L11" s="51"/>
      <c r="M11" s="70"/>
      <c r="N11" s="51"/>
      <c r="O11" s="51"/>
      <c r="P11" s="51"/>
      <c r="Q11" s="51"/>
      <c r="R11" s="51"/>
      <c r="S11" s="51"/>
      <c r="T11" s="51"/>
      <c r="U11" s="65"/>
      <c r="V11" s="69"/>
      <c r="W11" s="72"/>
      <c r="X11" s="71"/>
      <c r="Y11" s="61"/>
      <c r="Z11" s="60"/>
      <c r="AA11" s="57"/>
      <c r="AB11" s="19" t="s">
        <v>23</v>
      </c>
      <c r="AC11" s="20">
        <f t="shared" ref="AC11:AC20" si="22">IF(AD11&gt;0,AD11,AD11*-1)</f>
        <v>0</v>
      </c>
      <c r="AD11" s="20">
        <f>COUNTIF(U1,"Ocak")*(AN29)
+COUNTIF(U1,"Şubat")*(AN30)
+COUNTIF(U1,"Mart")*(AN31)
+COUNTIF(U1,"Nisan")*(AN32)
+COUNTIF(U1,"Mayıs")*(AN33)
+COUNTIF(U1,"Haziran")*(AN34)
+COUNTIF(U1,"Temmuz")*(AN35)
+COUNTIF(U1,"Ağustos")*(AN36)
+COUNTIF(U1,"Eylül")*(AN37)
+COUNTIF(U1,"Ekim")*(AN38)
+COUNTIF(U1,"Kasım")*(AN39)
+COUNTIF(U1,"Aralık")*(AN40)
+COUNTIF(U1,"Yıllık Toplam")*(AN41)
+COUNTIF(U1,"Yıllık Ortalama")*(AN42)</f>
        <v>0</v>
      </c>
      <c r="AE11" s="20" t="s">
        <v>0</v>
      </c>
      <c r="AF11" s="19" t="s">
        <v>0</v>
      </c>
      <c r="AG11" s="20">
        <v>1000</v>
      </c>
      <c r="AH11" s="20">
        <v>1000</v>
      </c>
      <c r="AI11" s="20">
        <f t="shared" si="1"/>
        <v>0</v>
      </c>
      <c r="AJ11" s="20">
        <f t="shared" si="11"/>
        <v>0</v>
      </c>
      <c r="AK11" s="20">
        <f t="shared" si="2"/>
        <v>7800</v>
      </c>
      <c r="AL11" s="20">
        <f t="shared" si="20"/>
        <v>4108</v>
      </c>
      <c r="AM11" s="20">
        <f t="shared" si="12"/>
        <v>3692</v>
      </c>
      <c r="AN11" s="20">
        <f t="shared" si="13"/>
        <v>-516.88</v>
      </c>
      <c r="AO11" s="20">
        <f t="shared" si="14"/>
        <v>-36.92</v>
      </c>
      <c r="AP11" s="20">
        <f t="shared" si="4"/>
        <v>7246.2</v>
      </c>
      <c r="AQ11" s="20">
        <f t="shared" si="21"/>
        <v>7246.2</v>
      </c>
      <c r="AR11" s="20">
        <f t="shared" si="15"/>
        <v>0</v>
      </c>
      <c r="AS11" s="20">
        <f t="shared" ca="1" si="6"/>
        <v>0</v>
      </c>
      <c r="AT11" s="21">
        <v>30</v>
      </c>
      <c r="AU11" s="20">
        <f t="shared" ca="1" si="7"/>
        <v>5380.8878954495767</v>
      </c>
      <c r="AV11" s="20">
        <f t="shared" si="17"/>
        <v>3298</v>
      </c>
      <c r="AW11" s="21">
        <v>10</v>
      </c>
      <c r="AX11" s="20">
        <f t="shared" si="9"/>
        <v>37489.386666666673</v>
      </c>
      <c r="AY11" s="20">
        <f>(0)</f>
        <v>0</v>
      </c>
      <c r="AZ11" s="20">
        <f t="shared" ca="1" si="10"/>
        <v>0</v>
      </c>
      <c r="BA11" s="21">
        <v>30</v>
      </c>
      <c r="BH11" s="19">
        <v>9</v>
      </c>
      <c r="BI11" s="23">
        <v>4.5</v>
      </c>
      <c r="BJ11" s="24">
        <v>0.11</v>
      </c>
    </row>
    <row r="12" spans="1:62" ht="39.950000000000003" customHeight="1" x14ac:dyDescent="0.25">
      <c r="A12" s="59"/>
      <c r="B12" s="59"/>
      <c r="C12" s="51"/>
      <c r="D12" s="51"/>
      <c r="E12" s="53"/>
      <c r="F12" s="51"/>
      <c r="G12" s="55"/>
      <c r="H12" s="51"/>
      <c r="I12" s="51"/>
      <c r="J12" s="51"/>
      <c r="K12" s="51"/>
      <c r="L12" s="51"/>
      <c r="M12" s="70"/>
      <c r="N12" s="51"/>
      <c r="O12" s="51"/>
      <c r="P12" s="51"/>
      <c r="Q12" s="51"/>
      <c r="R12" s="51"/>
      <c r="S12" s="51"/>
      <c r="T12" s="51"/>
      <c r="U12" s="65"/>
      <c r="V12" s="69"/>
      <c r="W12" s="72"/>
      <c r="X12" s="71"/>
      <c r="Y12" s="61"/>
      <c r="Z12" s="60"/>
      <c r="AA12" s="57"/>
      <c r="AB12" s="19" t="s">
        <v>24</v>
      </c>
      <c r="AC12" s="20">
        <f t="shared" si="22"/>
        <v>0</v>
      </c>
      <c r="AD12" s="20">
        <f>COUNTIF(U1,"Ocak")*(AP29)*-1
+COUNTIF(U1,"Şubat")*(AP30)*-1
+COUNTIF(U1,"Mart")*(AP31)*-1
+COUNTIF(U1,"Nisan")*(AP32)*-1
+COUNTIF(U1,"Mayıs")*(AP33)*-1
+COUNTIF(U1,"Haziran")*(AP34)*-1
+COUNTIF(U1,"Temmuz")*(AP35)*-1
+COUNTIF(U1,"Ağustos")*(AP36)*-1
+COUNTIF(U1,"Eylül")*(AP37)*-1
+COUNTIF(U1,"Ekim")*(AP38)*-1
+COUNTIF(U1,"Kasım")*(AP39)*-1
+COUNTIF(U1,"Aralık")*(AP40)*-1
+COUNTIF(U1,"Yıllık Toplam")*(AP41)*-1
+COUNTIF(U1,"Yıllık Ortalama")*(AP42)*-1</f>
        <v>0</v>
      </c>
      <c r="AE12" s="20" t="s">
        <v>0</v>
      </c>
      <c r="AF12" s="19" t="s">
        <v>0</v>
      </c>
      <c r="AG12" s="20">
        <v>1000</v>
      </c>
      <c r="AH12" s="20">
        <v>1000</v>
      </c>
      <c r="AI12" s="20">
        <f t="shared" si="1"/>
        <v>0</v>
      </c>
      <c r="AJ12" s="20">
        <f t="shared" si="11"/>
        <v>0</v>
      </c>
      <c r="AK12" s="20">
        <f t="shared" si="2"/>
        <v>7800</v>
      </c>
      <c r="AL12" s="20">
        <f t="shared" si="20"/>
        <v>4108</v>
      </c>
      <c r="AM12" s="20">
        <f t="shared" si="12"/>
        <v>3692</v>
      </c>
      <c r="AN12" s="20">
        <f t="shared" si="13"/>
        <v>-516.88</v>
      </c>
      <c r="AO12" s="20">
        <f t="shared" si="14"/>
        <v>-36.92</v>
      </c>
      <c r="AP12" s="20">
        <f t="shared" si="4"/>
        <v>7246.2</v>
      </c>
      <c r="AQ12" s="20">
        <f t="shared" si="21"/>
        <v>7246.2</v>
      </c>
      <c r="AR12" s="20">
        <f t="shared" si="15"/>
        <v>0</v>
      </c>
      <c r="AS12" s="20">
        <f t="shared" ca="1" si="6"/>
        <v>0</v>
      </c>
      <c r="AT12" s="21">
        <v>30</v>
      </c>
      <c r="AU12" s="20">
        <f t="shared" ca="1" si="7"/>
        <v>5380.8878954495767</v>
      </c>
      <c r="AV12" s="20">
        <f t="shared" ref="AV12" si="23">3298/30*AT12</f>
        <v>3298</v>
      </c>
      <c r="AW12" s="21">
        <v>10</v>
      </c>
      <c r="AX12" s="20">
        <f t="shared" si="9"/>
        <v>37489.386666666673</v>
      </c>
      <c r="AY12" s="20">
        <f t="shared" si="19"/>
        <v>112468.16000000002</v>
      </c>
      <c r="AZ12" s="20">
        <f t="shared" ca="1" si="10"/>
        <v>68932.859945600008</v>
      </c>
      <c r="BA12" s="21">
        <v>30</v>
      </c>
      <c r="BH12" s="19">
        <v>10</v>
      </c>
      <c r="BI12" s="23">
        <v>5</v>
      </c>
      <c r="BJ12" s="24">
        <v>0.12</v>
      </c>
    </row>
    <row r="13" spans="1:62" ht="39.950000000000003" customHeight="1" x14ac:dyDescent="0.25">
      <c r="A13" s="59"/>
      <c r="B13" s="59"/>
      <c r="C13" s="51"/>
      <c r="D13" s="51"/>
      <c r="E13" s="53"/>
      <c r="F13" s="51"/>
      <c r="G13" s="55"/>
      <c r="H13" s="51"/>
      <c r="I13" s="51"/>
      <c r="J13" s="51"/>
      <c r="K13" s="51"/>
      <c r="L13" s="51"/>
      <c r="M13" s="70"/>
      <c r="N13" s="51"/>
      <c r="O13" s="51"/>
      <c r="P13" s="51"/>
      <c r="Q13" s="51"/>
      <c r="R13" s="51"/>
      <c r="S13" s="51"/>
      <c r="T13" s="51"/>
      <c r="U13" s="65"/>
      <c r="V13" s="69"/>
      <c r="W13" s="72"/>
      <c r="X13" s="71"/>
      <c r="Y13" s="61"/>
      <c r="Z13" s="60"/>
      <c r="AA13" s="57"/>
      <c r="AB13" s="19" t="s">
        <v>18</v>
      </c>
      <c r="AC13" s="20">
        <f t="shared" ca="1" si="22"/>
        <v>0</v>
      </c>
      <c r="AD13" s="20">
        <f ca="1">COUNTIF(U1,"Ocak")*(AU29)*-1
+COUNTIF(U1,"Şubat")*(AU30)*-1
+COUNTIF(U1,"Mart")*(AU31)*-1
+COUNTIF(U1,"Nisan")*(AU32)*-1
+COUNTIF(U1,"Mayıs")*(AU33)*-1
+COUNTIF(U1,"Haziran")*(AU34)*-1
+COUNTIF(U1,"Temmuz")*(AU35)*-1
+COUNTIF(U1,"Ağustos")*(AU36)*-1
+COUNTIF(U1,"Eylül")*(AU37)*-1
+COUNTIF(U1,"Ekim")*(AU38)*-1
+COUNTIF(U1,"Kasım")*(AU39)*-1
+COUNTIF(U1,"Aralık")*(AU40)*-1
+COUNTIF(U1,"Yıllık Toplam")*(AU41)*-1
+COUNTIF(U1,"Yıllık Ortalama")*(AU42)*-1</f>
        <v>0</v>
      </c>
      <c r="AE13" s="22">
        <f>(23.65%)</f>
        <v>0.23649999999999999</v>
      </c>
      <c r="AF13" s="19" t="s">
        <v>0</v>
      </c>
      <c r="AG13" s="20">
        <v>158</v>
      </c>
      <c r="AH13" s="20">
        <v>158</v>
      </c>
      <c r="AI13" s="20">
        <f>(AI1+AI2+AI3+AI4+AI5+AI6+AI7+AI8+AI9+AI10+AI11+AI12)</f>
        <v>0</v>
      </c>
      <c r="AJ13" s="20">
        <f>(AJ1+AJ2+AJ3+AJ4+AJ5+AJ6+AJ7+AJ8+AJ9+AJ10+AJ11+AJ12)</f>
        <v>0</v>
      </c>
      <c r="AK13" s="20">
        <f t="shared" ref="AK13" si="24">(AK1+AK2+AK3+AK4+AK5+AK6+AK7+AK8+AK9+AK10+AK11+AK12)</f>
        <v>93600</v>
      </c>
      <c r="AL13" s="20">
        <f>(AL1+AL2+AL3+AL4+AL5+AL6+AL7+AL8+AL9+AL10+AL11+AL12)</f>
        <v>49296</v>
      </c>
      <c r="AM13" s="20">
        <f>(AM1+AM2+AM3+AM4+AM5+AM6+AM7+AM8+AM9+AM10+AM11+AM12)</f>
        <v>44304</v>
      </c>
      <c r="AN13" s="20">
        <f>(AN1+AN2+AN3+AN4+AN5+AN6+AN7+AN8+AN9+AN10+AN11+AN12)</f>
        <v>-6202.56</v>
      </c>
      <c r="AO13" s="20">
        <f>(AO1+AO2+AO3+AO4+AO5+AO6+AO7+AO8+AO9+AO10+AO11+AO12)</f>
        <v>-443.04000000000013</v>
      </c>
      <c r="AP13" s="20">
        <f t="shared" ref="AP13" si="25">(AP1+AP2+AP3+AP4+AP5+AP6+AP7+AP8+AP9+AP10+AP11+AP12)</f>
        <v>86954.39999999998</v>
      </c>
      <c r="AQ13" s="20">
        <f>(AQ1+AQ2+AQ3+AQ4+AQ5+AQ6+AQ7+AQ8+AQ9+AQ10+AQ11+AQ12)</f>
        <v>86954.39999999998</v>
      </c>
      <c r="AR13" s="20">
        <f>(AR1+AR2+AR3+AR4+AR5+AR6+AR7+AR8+AR9+AR10+AR11+AR12)</f>
        <v>0</v>
      </c>
      <c r="AS13" s="20">
        <f ca="1">(AS1+AS2+AS3+AS4+AS5+AS6+AS7+AS8+AS9+AS10+AS11+AS12)</f>
        <v>0</v>
      </c>
      <c r="AT13" s="21">
        <f>(AT1+AT2+AT3+AT4+AT5+AT6+AT7+AT8+AT9+AT10+AT11+AT12)</f>
        <v>360</v>
      </c>
      <c r="AU13" s="20">
        <f t="shared" ref="AU13:AV13" ca="1" si="26">(AU1+AU2+AU3+AU4+AU5+AU6+AU7+AU8+AU9+AU10+AU11+AU12)</f>
        <v>60956.312916728537</v>
      </c>
      <c r="AV13" s="20">
        <f t="shared" si="26"/>
        <v>38751</v>
      </c>
      <c r="AW13" s="21">
        <f>(AW1+AW2+AW3+AW4+AW5+AW6+AW7+AW8+AW9+AW10+AW11+AW12)</f>
        <v>120</v>
      </c>
      <c r="AX13" s="20">
        <f t="shared" ref="AX13:AY13" si="27">(AX1+AX2+AX3+AX4+AX5+AX6+AX7+AX8+AX9+AX10+AX11+AX12)</f>
        <v>400807.67999999999</v>
      </c>
      <c r="AY13" s="20">
        <f t="shared" si="27"/>
        <v>400807.68000000005</v>
      </c>
      <c r="AZ13" s="20">
        <f ca="1">(AZ1+AZ2+AZ3+AZ4+AZ5+AZ6+AZ7+AZ8+AZ9+AZ10+AZ11+AZ12)</f>
        <v>251610.03202323537</v>
      </c>
      <c r="BA13" s="21">
        <f>(BA1+BA2+BA3+BA4+BA5+BA6+BA7+BA8+BA9+BA10+BA11+BA12)</f>
        <v>360</v>
      </c>
      <c r="BH13" s="19">
        <v>11</v>
      </c>
      <c r="BI13" s="23">
        <v>5.5</v>
      </c>
      <c r="BJ13" s="24">
        <v>0.13</v>
      </c>
    </row>
    <row r="14" spans="1:62" ht="39.950000000000003" customHeight="1" x14ac:dyDescent="0.25">
      <c r="A14" s="59"/>
      <c r="B14" s="59"/>
      <c r="C14" s="51"/>
      <c r="D14" s="51"/>
      <c r="E14" s="54"/>
      <c r="F14" s="51"/>
      <c r="G14" s="55"/>
      <c r="H14" s="51"/>
      <c r="I14" s="51"/>
      <c r="J14" s="51"/>
      <c r="K14" s="51"/>
      <c r="L14" s="51"/>
      <c r="M14" s="70"/>
      <c r="N14" s="51"/>
      <c r="O14" s="51"/>
      <c r="P14" s="51"/>
      <c r="Q14" s="51"/>
      <c r="R14" s="51"/>
      <c r="S14" s="51"/>
      <c r="T14" s="51"/>
      <c r="U14" s="65"/>
      <c r="V14" s="69"/>
      <c r="W14" s="72"/>
      <c r="X14" s="71"/>
      <c r="Y14" s="61"/>
      <c r="Z14" s="60"/>
      <c r="AA14" s="57"/>
      <c r="AB14" s="19" t="s">
        <v>19</v>
      </c>
      <c r="AC14" s="20">
        <f t="shared" ca="1" si="22"/>
        <v>854.48186661983073</v>
      </c>
      <c r="AD14" s="20">
        <f ca="1">COUNTIF(U1,"Ocak")*(AL59)*-1
+COUNTIF(U1,"Şubat")*(AL60)*-1
+COUNTIF(U1,"Mart")*(AL61)*-1
+COUNTIF(U1,"Nisan")*(AL62)*-1
+COUNTIF(U1,"Mayıs")*(AL63)*-1
+COUNTIF(U1,"Haziran")*(AL64)*-1
+COUNTIF(U1,"Temmuz")*(AL65)*-1
+COUNTIF(U1,"Ağustos")*(AL66)*-1
+COUNTIF(U1,"Eylül")*(AL67)*-1
+COUNTIF(U1,"Ekim")*(AL68)*-1
+COUNTIF(U1,"Kasım")*(AL69)*-1
+COUNTIF(U1,"Aralık")*(AL70)*-1
+COUNTIF(U1,"Yıllık Toplam")*(AL71)*-1
+COUNTIF(U1,"Yıllık Ortalama")*(AL72)*-1</f>
        <v>854.48186661983073</v>
      </c>
      <c r="AE14" s="20" t="s">
        <v>0</v>
      </c>
      <c r="AF14" s="19" t="s">
        <v>0</v>
      </c>
      <c r="AG14" s="20">
        <v>300</v>
      </c>
      <c r="AH14" s="20">
        <v>300</v>
      </c>
      <c r="AI14" s="20">
        <f>(AI13/12)</f>
        <v>0</v>
      </c>
      <c r="AJ14" s="20">
        <f>(AJ13/12)</f>
        <v>0</v>
      </c>
      <c r="AK14" s="20">
        <f t="shared" ref="AK14" si="28">(AK13/12)</f>
        <v>7800</v>
      </c>
      <c r="AL14" s="20">
        <f>(AL13/12)</f>
        <v>4108</v>
      </c>
      <c r="AM14" s="20">
        <f>(AM13/12)</f>
        <v>3692</v>
      </c>
      <c r="AN14" s="20">
        <f>(AN13/12)</f>
        <v>-516.88</v>
      </c>
      <c r="AO14" s="20">
        <f>(AO13/12)</f>
        <v>-36.920000000000009</v>
      </c>
      <c r="AP14" s="20">
        <f t="shared" ref="AP14" si="29">(AP13/12)</f>
        <v>7246.199999999998</v>
      </c>
      <c r="AQ14" s="20">
        <f>(AQ13/12)</f>
        <v>7246.199999999998</v>
      </c>
      <c r="AR14" s="20">
        <f>(AR13/12)</f>
        <v>0</v>
      </c>
      <c r="AS14" s="20">
        <f ca="1">(AS13/12)</f>
        <v>0</v>
      </c>
      <c r="AT14" s="25" t="s">
        <v>0</v>
      </c>
      <c r="AU14" s="20">
        <f t="shared" ref="AU14:AV14" ca="1" si="30">(AU13/12)</f>
        <v>5079.6927430607111</v>
      </c>
      <c r="AV14" s="20">
        <f t="shared" si="30"/>
        <v>3229.25</v>
      </c>
      <c r="AW14" s="25" t="s">
        <v>0</v>
      </c>
      <c r="AX14" s="20">
        <f t="shared" ref="AX14:AY14" si="31">(AX13/12)</f>
        <v>33400.639999999999</v>
      </c>
      <c r="AY14" s="20">
        <f t="shared" si="31"/>
        <v>33400.640000000007</v>
      </c>
      <c r="AZ14" s="20">
        <f ca="1">(AZ13/12)</f>
        <v>20967.502668602949</v>
      </c>
      <c r="BA14" s="25" t="s">
        <v>0</v>
      </c>
      <c r="BH14" s="19">
        <v>12</v>
      </c>
      <c r="BI14" s="23">
        <v>6</v>
      </c>
      <c r="BJ14" s="24">
        <v>0.14000000000000001</v>
      </c>
    </row>
    <row r="15" spans="1:62" ht="39.950000000000003" customHeight="1" x14ac:dyDescent="0.25">
      <c r="A15" s="7">
        <f t="shared" ref="A15:A26" ca="1" si="32">(AX59)</f>
        <v>0.15</v>
      </c>
      <c r="B15" s="8" t="s">
        <v>71</v>
      </c>
      <c r="C15" s="47">
        <v>82880</v>
      </c>
      <c r="D15" s="47">
        <v>5730.11</v>
      </c>
      <c r="E15" s="48">
        <v>0</v>
      </c>
      <c r="F15" s="48">
        <v>0</v>
      </c>
      <c r="G15" s="48">
        <v>0</v>
      </c>
      <c r="H15" s="49">
        <v>26</v>
      </c>
      <c r="I15" s="50">
        <v>0</v>
      </c>
      <c r="J15" s="50" t="s">
        <v>1</v>
      </c>
      <c r="K15" s="9">
        <f t="shared" ref="K15:K26" ca="1" si="33">(AI59+AP29+AS29+AL59+AP59+AQ59+AZ59-L15)</f>
        <v>70558.280126735728</v>
      </c>
      <c r="L15" s="9">
        <f t="shared" ref="L15:L26" ca="1" si="34">(R15+S15+T15+AX15+AZ15+AT29)</f>
        <v>7246.2</v>
      </c>
      <c r="M15" s="10">
        <f ca="1">(K15+L15)</f>
        <v>77804.480126735725</v>
      </c>
      <c r="N15" s="4">
        <f t="shared" ref="N15:N26" ca="1" si="35">(C15*BC59)</f>
        <v>59251.740800000007</v>
      </c>
      <c r="O15" s="11">
        <f t="shared" ref="O15:O26" si="36">(C15/30)</f>
        <v>2762.6666666666665</v>
      </c>
      <c r="P15" s="4">
        <f t="shared" ref="P15:P26" ca="1" si="37">(O15*BC59)</f>
        <v>1975.0580266666666</v>
      </c>
      <c r="Q15" s="3">
        <f t="shared" ref="Q15:Q26" ca="1" si="38">(D15*BC59)</f>
        <v>4096.5129401000004</v>
      </c>
      <c r="R15" s="3">
        <f t="shared" ref="R15:R26" ca="1" si="39">(AS15*BC59)</f>
        <v>0</v>
      </c>
      <c r="S15" s="3">
        <f t="shared" ref="S15:S26" ca="1" si="40">(AT15*BC59)</f>
        <v>0</v>
      </c>
      <c r="T15" s="3">
        <f t="shared" ref="T15:T26" ca="1" si="41">(AU15*BC59)</f>
        <v>0</v>
      </c>
      <c r="U15" s="65"/>
      <c r="V15" s="69"/>
      <c r="W15" s="72"/>
      <c r="X15" s="71"/>
      <c r="Y15" s="61"/>
      <c r="Z15" s="60"/>
      <c r="AA15" s="57"/>
      <c r="AB15" s="19" t="s">
        <v>4</v>
      </c>
      <c r="AC15" s="20">
        <f t="shared" ca="1" si="22"/>
        <v>20902.273850695168</v>
      </c>
      <c r="AD15" s="20">
        <f ca="1">COUNTIF(U1,"Ocak")*(AP59)*-1
+COUNTIF(U1,"Şubat")*(AP60)*-1
+COUNTIF(U1,"Mart")*(AP61)*-1
+COUNTIF(U1,"Nisan")*(AP62)*-1
+COUNTIF(U1,"Mayıs")*(AP63)*-1
+COUNTIF(U1,"Haziran")*(AP64)*-1
+COUNTIF(U1,"Temmuz")*(AP65)*-1
+COUNTIF(U1,"Ağustos")*(AP66)*-1
+COUNTIF(U1,"Eylül")*(AP67)*-1
+COUNTIF(U1,"Ekim")*(AP68)*-1
+COUNTIF(U1,"Kasım")*(AP69)*-1
+COUNTIF(U1,"Aralık")*(AP70)*-1
+COUNTIF(U1,"Yıllık Toplam")*(AP71)*-1
+COUNTIF(U1,"Yıllık Ortalama")*(AP72)*-1</f>
        <v>20902.273850695168</v>
      </c>
      <c r="AI15" s="26">
        <v>46023</v>
      </c>
      <c r="AJ15" s="27">
        <f t="shared" ref="AJ15:AJ26" si="42">EOMONTH(AI15,0)</f>
        <v>46053</v>
      </c>
      <c r="AK15" s="28">
        <f>COUNTIF($A$1,"Amir")*(DAY(AJ15))
+COUNTIF($A$1,"Gişe")*(DAY(AJ15))
+COUNTIF($A$1,"Çıma")*(DAY(AJ15))
+COUNTIF($A$1,"Ustabaşı")*(DAY(AJ15))
+COUNTIF($A$1,"İtfaiye Amiri")*(DAY(AJ15))
+COUNTIF($A$1,"Usta")*(DAY(AJ15))
+COUNTIF($A$1,"Vinç Operatörü")*(DAY(AJ15))
+COUNTIF($A$1,"Forklift Operatörü")*(DAY(AJ15))
+COUNTIF($A$1,"İtfaiyeci")*(DAY(AJ15))
+COUNTIF($A$1,"Usta Yardımcısı")*(DAY(AJ15))
+COUNTIF($A$1,"Gemi Havuzlama Personeli")*(DAY(AJ15))
+COUNTIF($A$1,"Yakıt Yağ ve Atık Personeli")*(DAY(AJ15))
+COUNTIF($A$1,"Tersane Saha Personeli")*(DAY(AJ15))</f>
        <v>0</v>
      </c>
      <c r="AL15" s="28">
        <f>NETWORKDAYS.INTL(AI15,AJ15,11)</f>
        <v>27</v>
      </c>
      <c r="AM15" s="28">
        <f>(AK15-AL15)</f>
        <v>-27</v>
      </c>
      <c r="AN15" s="29">
        <f t="shared" ref="AN15:AN26" si="43">(C15)</f>
        <v>82880</v>
      </c>
      <c r="AO15" s="20">
        <f t="shared" ref="AO15:AO26" ca="1" si="44">(AN15*BC59)</f>
        <v>59251.740800000007</v>
      </c>
      <c r="AP15" s="30">
        <v>0</v>
      </c>
      <c r="AQ15" s="20">
        <f>(0*AP15)</f>
        <v>0</v>
      </c>
      <c r="AR15" s="20">
        <f t="shared" ref="AR15:AR26" ca="1" si="45">(AQ15*BC59)</f>
        <v>0</v>
      </c>
      <c r="AS15" s="20">
        <f t="shared" ref="AS15:AS26" si="46">(C15/30/7.5*1.5*E15)</f>
        <v>0</v>
      </c>
      <c r="AT15" s="20">
        <f t="shared" ref="AT15:AT26" si="47">(C15/30/7.5*1.25*F15)</f>
        <v>0</v>
      </c>
      <c r="AU15" s="20">
        <f t="shared" ref="AU15:AU26" si="48">(C15/30/7.5*2*G15)</f>
        <v>0</v>
      </c>
      <c r="AV15" s="31">
        <v>0</v>
      </c>
      <c r="AW15" s="20">
        <f t="shared" ref="AW15:AW26" si="49">(C15/7.5*0.15*AV15)</f>
        <v>0</v>
      </c>
      <c r="AX15" s="20">
        <f t="shared" ref="AX15:AX26" ca="1" si="50">(AW15*BC59)</f>
        <v>0</v>
      </c>
      <c r="AY15" s="20">
        <f t="shared" ref="AY15:AY26" si="51">(300*H15)</f>
        <v>7800</v>
      </c>
      <c r="AZ15" s="20">
        <f t="shared" ref="AZ15:AZ26" ca="1" si="52">(BA15+AJ1+AN1+AO1+AS1)</f>
        <v>7246.2</v>
      </c>
      <c r="BA15" s="20">
        <f>(AY15)</f>
        <v>7800</v>
      </c>
      <c r="BB15" s="32">
        <f t="shared" ref="BB15:BB26" si="53">COUNTIF(J15,"Yok")*(0)
+COUNTIF(J15,"1. Derece")*($AE$36)
+COUNTIF(J15,"2. Derece")*($AE$37)
+COUNTIF(J15,"3. Derece")*($AE$38)</f>
        <v>0</v>
      </c>
      <c r="BH15" s="19">
        <v>13</v>
      </c>
      <c r="BI15" s="23">
        <v>6.5</v>
      </c>
      <c r="BJ15" s="24">
        <v>0.15</v>
      </c>
    </row>
    <row r="16" spans="1:62" ht="39.950000000000003" customHeight="1" x14ac:dyDescent="0.25">
      <c r="A16" s="7">
        <f t="shared" ca="1" si="32"/>
        <v>0.15</v>
      </c>
      <c r="B16" s="8" t="s">
        <v>72</v>
      </c>
      <c r="C16" s="47">
        <v>82880</v>
      </c>
      <c r="D16" s="47">
        <v>5730.11</v>
      </c>
      <c r="E16" s="48">
        <v>0</v>
      </c>
      <c r="F16" s="48">
        <v>0</v>
      </c>
      <c r="G16" s="48">
        <v>0</v>
      </c>
      <c r="H16" s="49">
        <v>26</v>
      </c>
      <c r="I16" s="50">
        <v>0</v>
      </c>
      <c r="J16" s="50" t="s">
        <v>1</v>
      </c>
      <c r="K16" s="9">
        <f t="shared" ca="1" si="33"/>
        <v>70833.284761724746</v>
      </c>
      <c r="L16" s="9">
        <f t="shared" ca="1" si="34"/>
        <v>7246.2</v>
      </c>
      <c r="M16" s="10">
        <f t="shared" ref="M16:M26" ca="1" si="54">(K16+L16)</f>
        <v>78079.484761724743</v>
      </c>
      <c r="N16" s="4">
        <f t="shared" ca="1" si="35"/>
        <v>59251.740800000007</v>
      </c>
      <c r="O16" s="11">
        <f t="shared" si="36"/>
        <v>2762.6666666666665</v>
      </c>
      <c r="P16" s="4">
        <f t="shared" ca="1" si="37"/>
        <v>1975.0580266666666</v>
      </c>
      <c r="Q16" s="3">
        <f t="shared" ca="1" si="38"/>
        <v>4096.5129401000004</v>
      </c>
      <c r="R16" s="3">
        <f t="shared" ca="1" si="39"/>
        <v>0</v>
      </c>
      <c r="S16" s="3">
        <f t="shared" ca="1" si="40"/>
        <v>0</v>
      </c>
      <c r="T16" s="3">
        <f t="shared" ca="1" si="41"/>
        <v>0</v>
      </c>
      <c r="U16" s="65"/>
      <c r="V16" s="69"/>
      <c r="W16" s="72"/>
      <c r="X16" s="71"/>
      <c r="Y16" s="61"/>
      <c r="Z16" s="60"/>
      <c r="AA16" s="57"/>
      <c r="AB16" s="19" t="s">
        <v>5</v>
      </c>
      <c r="AC16" s="20">
        <f t="shared" ca="1" si="22"/>
        <v>1493.0195607639405</v>
      </c>
      <c r="AD16" s="20">
        <f ca="1">COUNTIF(U1,"Ocak")*(AQ59)*-1
+COUNTIF(U1,"Şubat")*(AQ60)*-1
+COUNTIF(U1,"Mart")*(AQ61)*-1
+COUNTIF(U1,"Nisan")*(AQ62)*-1
+COUNTIF(U1,"Mayıs")*(AQ63)*-1
+COUNTIF(U1,"Haziran")*(AQ64)*-1
+COUNTIF(U1,"Temmuz")*(AQ65)*-1
+COUNTIF(U1,"Ağustos")*(AQ66)*-1
+COUNTIF(U1,"Eylül")*(AQ67)*-1
+COUNTIF(U1,"Ekim")*(AQ68)*-1
+COUNTIF(U1,"Kasım")*(AQ69)*-1
+COUNTIF(U1,"Aralık")*(AQ70)*-1
+COUNTIF(U1,"Yıllık Toplam")*(AQ71)*-1
+COUNTIF(U1,"Yıllık Ortalama")*(AQ72)*-1</f>
        <v>1493.0195607639405</v>
      </c>
      <c r="AE16" s="33">
        <f>(2273)</f>
        <v>2273</v>
      </c>
      <c r="AF16" s="19" t="s">
        <v>0</v>
      </c>
      <c r="AG16" s="20">
        <f>($AE$29*$AE$16)</f>
        <v>3154.6307830000001</v>
      </c>
      <c r="AH16" s="20">
        <f>($AF$29*$AE$16)</f>
        <v>3154.6307830000001</v>
      </c>
      <c r="AI16" s="27">
        <f>(AJ15+1)</f>
        <v>46054</v>
      </c>
      <c r="AJ16" s="27">
        <f t="shared" si="42"/>
        <v>46081</v>
      </c>
      <c r="AK16" s="28">
        <f t="shared" ref="AK16:AK26" si="55">COUNTIF($A$1,"Amir")*(DAY(AJ16))
+COUNTIF($A$1,"Gişe")*(DAY(AJ16))
+COUNTIF($A$1,"Çıma")*(DAY(AJ16))
+COUNTIF($A$1,"Ustabaşı")*(DAY(AJ16))
+COUNTIF($A$1,"İtfaiye Amiri")*(DAY(AJ16))
+COUNTIF($A$1,"Usta")*(DAY(AJ16))
+COUNTIF($A$1,"Vinç Operatörü")*(DAY(AJ16))
+COUNTIF($A$1,"Forklift Operatörü")*(DAY(AJ16))
+COUNTIF($A$1,"İtfaiyeci")*(DAY(AJ16))
+COUNTIF($A$1,"Usta Yardımcısı")*(DAY(AJ16))
+COUNTIF($A$1,"Gemi Havuzlama Personeli")*(DAY(AJ16))
+COUNTIF($A$1,"Yakıt Yağ ve Atık Personeli")*(DAY(AJ16))
+COUNTIF($A$1,"Tersane Saha Personeli")*(DAY(AJ16))</f>
        <v>0</v>
      </c>
      <c r="AL16" s="28">
        <f t="shared" ref="AL16:AL26" si="56">NETWORKDAYS.INTL(AI16,AJ16,11)</f>
        <v>24</v>
      </c>
      <c r="AM16" s="28">
        <f t="shared" ref="AM16:AM26" si="57">(AK16-AL16)</f>
        <v>-24</v>
      </c>
      <c r="AN16" s="29">
        <f t="shared" si="43"/>
        <v>82880</v>
      </c>
      <c r="AO16" s="20">
        <f t="shared" ca="1" si="44"/>
        <v>59251.740800000007</v>
      </c>
      <c r="AP16" s="30">
        <v>0</v>
      </c>
      <c r="AQ16" s="20">
        <f t="shared" ref="AQ16:AQ26" si="58">(0*AP16)</f>
        <v>0</v>
      </c>
      <c r="AR16" s="20">
        <f t="shared" ca="1" si="45"/>
        <v>0</v>
      </c>
      <c r="AS16" s="20">
        <f t="shared" si="46"/>
        <v>0</v>
      </c>
      <c r="AT16" s="20">
        <f t="shared" si="47"/>
        <v>0</v>
      </c>
      <c r="AU16" s="20">
        <f t="shared" si="48"/>
        <v>0</v>
      </c>
      <c r="AV16" s="31">
        <v>0</v>
      </c>
      <c r="AW16" s="20">
        <f t="shared" si="49"/>
        <v>0</v>
      </c>
      <c r="AX16" s="20">
        <f t="shared" ca="1" si="50"/>
        <v>0</v>
      </c>
      <c r="AY16" s="20">
        <f t="shared" si="51"/>
        <v>7800</v>
      </c>
      <c r="AZ16" s="20">
        <f t="shared" ca="1" si="52"/>
        <v>7246.2</v>
      </c>
      <c r="BA16" s="20">
        <f t="shared" ref="BA16:BA26" si="59">(AY16)</f>
        <v>7800</v>
      </c>
      <c r="BB16" s="32">
        <f t="shared" si="53"/>
        <v>0</v>
      </c>
      <c r="BH16" s="19">
        <v>14</v>
      </c>
      <c r="BI16" s="23">
        <v>7</v>
      </c>
      <c r="BJ16" s="24">
        <v>0.16</v>
      </c>
    </row>
    <row r="17" spans="1:62" ht="39.950000000000003" customHeight="1" x14ac:dyDescent="0.25">
      <c r="A17" s="7">
        <f t="shared" ca="1" si="32"/>
        <v>0.190307915132433</v>
      </c>
      <c r="B17" s="8" t="s">
        <v>73</v>
      </c>
      <c r="C17" s="47">
        <v>97798.399999999994</v>
      </c>
      <c r="D17" s="47">
        <v>6761.53</v>
      </c>
      <c r="E17" s="48">
        <v>0</v>
      </c>
      <c r="F17" s="48">
        <v>0</v>
      </c>
      <c r="G17" s="48">
        <v>0</v>
      </c>
      <c r="H17" s="49">
        <v>26</v>
      </c>
      <c r="I17" s="50">
        <v>0</v>
      </c>
      <c r="J17" s="50" t="s">
        <v>1</v>
      </c>
      <c r="K17" s="9">
        <f t="shared" ca="1" si="33"/>
        <v>138725.4227331742</v>
      </c>
      <c r="L17" s="9">
        <f t="shared" ca="1" si="34"/>
        <v>7246.2</v>
      </c>
      <c r="M17" s="10">
        <f t="shared" ca="1" si="54"/>
        <v>145971.62273317421</v>
      </c>
      <c r="N17" s="4">
        <f t="shared" ca="1" si="35"/>
        <v>66566.311977805424</v>
      </c>
      <c r="O17" s="11">
        <f t="shared" si="36"/>
        <v>3259.9466666666663</v>
      </c>
      <c r="P17" s="4">
        <f t="shared" ca="1" si="37"/>
        <v>2218.8770659268471</v>
      </c>
      <c r="Q17" s="3">
        <f t="shared" ca="1" si="38"/>
        <v>4602.2237115054104</v>
      </c>
      <c r="R17" s="3">
        <f t="shared" ca="1" si="39"/>
        <v>0</v>
      </c>
      <c r="S17" s="3">
        <f t="shared" ca="1" si="40"/>
        <v>0</v>
      </c>
      <c r="T17" s="3">
        <f t="shared" ca="1" si="41"/>
        <v>0</v>
      </c>
      <c r="U17" s="65"/>
      <c r="V17" s="69"/>
      <c r="W17" s="72"/>
      <c r="X17" s="71"/>
      <c r="Y17" s="61"/>
      <c r="Z17" s="60"/>
      <c r="AA17" s="57"/>
      <c r="AB17" s="19" t="s">
        <v>20</v>
      </c>
      <c r="AC17" s="20">
        <f t="shared" ca="1" si="22"/>
        <v>25469.048333333336</v>
      </c>
      <c r="AD17" s="20">
        <f ca="1">COUNTIF(U1,"Ocak")*(AZ59)*-1
+COUNTIF(U1,"Şubat")*(AZ60)*-1
+COUNTIF(U1,"Mart")*(AZ61)*-1
+COUNTIF(U1,"Nisan")*(AZ62)*-1
+COUNTIF(U1,"Mayıs")*(AZ63)*-1
+COUNTIF(U1,"Haziran")*(AZ64)*-1
+COUNTIF(U1,"Temmuz")*(AZ65)*-1
+COUNTIF(U1,"Ağustos")*(AZ66)*-1
+COUNTIF(U1,"Eylül")*(AZ67)*-1
+COUNTIF(U1,"Ekim")*(AZ68)*-1
+COUNTIF(U1,"Kasım")*(AZ69)*-1
+COUNTIF(U1,"Aralık")*(AZ70)*-1
+COUNTIF(U1,"Yıllık Toplam")*(AZ71)*-1
+COUNTIF(U1,"Yıllık Ortalama")*(AZ72)*-1</f>
        <v>25469.048333333336</v>
      </c>
      <c r="AE17" s="33">
        <f>(250)</f>
        <v>250</v>
      </c>
      <c r="AF17" s="19" t="s">
        <v>0</v>
      </c>
      <c r="AG17" s="20">
        <f>($AE$29*$AE$17*2)</f>
        <v>693.93550000000005</v>
      </c>
      <c r="AH17" s="20">
        <f>($AF$29*$AE$17*2)</f>
        <v>693.93550000000005</v>
      </c>
      <c r="AI17" s="27">
        <f t="shared" ref="AI17:AI26" si="60">(AJ16+1)</f>
        <v>46082</v>
      </c>
      <c r="AJ17" s="27">
        <f t="shared" si="42"/>
        <v>46112</v>
      </c>
      <c r="AK17" s="28">
        <f t="shared" si="55"/>
        <v>0</v>
      </c>
      <c r="AL17" s="28">
        <f t="shared" si="56"/>
        <v>26</v>
      </c>
      <c r="AM17" s="28">
        <f t="shared" si="57"/>
        <v>-26</v>
      </c>
      <c r="AN17" s="29">
        <f t="shared" si="43"/>
        <v>97798.399999999994</v>
      </c>
      <c r="AO17" s="20">
        <f t="shared" ca="1" si="44"/>
        <v>66566.311977805424</v>
      </c>
      <c r="AP17" s="30">
        <v>0</v>
      </c>
      <c r="AQ17" s="20">
        <f t="shared" si="58"/>
        <v>0</v>
      </c>
      <c r="AR17" s="20">
        <f t="shared" ca="1" si="45"/>
        <v>0</v>
      </c>
      <c r="AS17" s="20">
        <f t="shared" si="46"/>
        <v>0</v>
      </c>
      <c r="AT17" s="20">
        <f t="shared" si="47"/>
        <v>0</v>
      </c>
      <c r="AU17" s="20">
        <f t="shared" si="48"/>
        <v>0</v>
      </c>
      <c r="AV17" s="31">
        <v>0</v>
      </c>
      <c r="AW17" s="20">
        <f t="shared" si="49"/>
        <v>0</v>
      </c>
      <c r="AX17" s="20">
        <f t="shared" ca="1" si="50"/>
        <v>0</v>
      </c>
      <c r="AY17" s="20">
        <f t="shared" si="51"/>
        <v>7800</v>
      </c>
      <c r="AZ17" s="20">
        <f t="shared" ca="1" si="52"/>
        <v>7246.2</v>
      </c>
      <c r="BA17" s="20">
        <f t="shared" si="59"/>
        <v>7800</v>
      </c>
      <c r="BB17" s="32">
        <f t="shared" si="53"/>
        <v>0</v>
      </c>
      <c r="BH17" s="19">
        <v>15</v>
      </c>
      <c r="BI17" s="23">
        <v>7.5</v>
      </c>
      <c r="BJ17" s="24">
        <v>0.17</v>
      </c>
    </row>
    <row r="18" spans="1:62" ht="39.950000000000003" customHeight="1" x14ac:dyDescent="0.25">
      <c r="A18" s="7">
        <f t="shared" ca="1" si="32"/>
        <v>0.21374669438973889</v>
      </c>
      <c r="B18" s="8" t="s">
        <v>74</v>
      </c>
      <c r="C18" s="47">
        <v>97798.399999999994</v>
      </c>
      <c r="D18" s="47">
        <v>6761.53</v>
      </c>
      <c r="E18" s="48">
        <v>0</v>
      </c>
      <c r="F18" s="48">
        <v>0</v>
      </c>
      <c r="G18" s="48">
        <v>0</v>
      </c>
      <c r="H18" s="49">
        <v>26</v>
      </c>
      <c r="I18" s="50">
        <v>0</v>
      </c>
      <c r="J18" s="50" t="s">
        <v>1</v>
      </c>
      <c r="K18" s="9">
        <f t="shared" ca="1" si="33"/>
        <v>76845.424607301131</v>
      </c>
      <c r="L18" s="9">
        <f t="shared" ca="1" si="34"/>
        <v>7246.2</v>
      </c>
      <c r="M18" s="10">
        <f t="shared" ca="1" si="54"/>
        <v>84091.624607301128</v>
      </c>
      <c r="N18" s="4">
        <f t="shared" ca="1" si="35"/>
        <v>64617.878134885381</v>
      </c>
      <c r="O18" s="11">
        <f t="shared" si="36"/>
        <v>3259.9466666666663</v>
      </c>
      <c r="P18" s="4">
        <f t="shared" ca="1" si="37"/>
        <v>2153.9292711628459</v>
      </c>
      <c r="Q18" s="3">
        <f t="shared" ca="1" si="38"/>
        <v>4467.514003760507</v>
      </c>
      <c r="R18" s="3">
        <f t="shared" ca="1" si="39"/>
        <v>0</v>
      </c>
      <c r="S18" s="3">
        <f t="shared" ca="1" si="40"/>
        <v>0</v>
      </c>
      <c r="T18" s="3">
        <f t="shared" ca="1" si="41"/>
        <v>0</v>
      </c>
      <c r="U18" s="65"/>
      <c r="V18" s="69"/>
      <c r="W18" s="72"/>
      <c r="X18" s="71"/>
      <c r="Y18" s="61"/>
      <c r="Z18" s="60"/>
      <c r="AA18" s="57"/>
      <c r="AB18" s="19" t="s">
        <v>57</v>
      </c>
      <c r="AC18" s="20">
        <f t="shared" ca="1" si="22"/>
        <v>178722.59882899906</v>
      </c>
      <c r="AD18" s="20">
        <f ca="1">COUNTIF(U1,"Ocak")*(AZ29)
+COUNTIF(U1,"Şubat")*(AZ30)
+COUNTIF(U1,"Mart")*(AZ31)
+COUNTIF(U1,"Nisan")*(AZ32)
+COUNTIF(U1,"Mayıs")*(AZ33)
+COUNTIF(U1,"Haziran")*(AZ34)
+COUNTIF(U1,"Temmuz")*(AZ35)
+COUNTIF(U1,"Ağustos")*(AZ36)
+COUNTIF(U1,"Eylül")*(AZ37)
+COUNTIF(U1,"Ekim")*(AZ38)
+COUNTIF(U1,"Kasım")*(AZ39)
+COUNTIF(U1,"Aralık")*(AZ40)
+COUNTIF(U1,"Yıllık Toplam")*(AZ41)
+COUNTIF(U1,"Yıllık Ortalama")*(AZ42)</f>
        <v>178722.59882899906</v>
      </c>
      <c r="AE18" s="33">
        <f>(AE17)</f>
        <v>250</v>
      </c>
      <c r="AF18" s="19" t="s">
        <v>0</v>
      </c>
      <c r="AG18" s="20">
        <f>($AE$29*$AE$18)</f>
        <v>346.96775000000002</v>
      </c>
      <c r="AH18" s="20">
        <f>($AF$29*$AE$18)</f>
        <v>346.96775000000002</v>
      </c>
      <c r="AI18" s="27">
        <f t="shared" si="60"/>
        <v>46113</v>
      </c>
      <c r="AJ18" s="27">
        <f t="shared" si="42"/>
        <v>46142</v>
      </c>
      <c r="AK18" s="28">
        <f t="shared" si="55"/>
        <v>0</v>
      </c>
      <c r="AL18" s="28">
        <f t="shared" si="56"/>
        <v>26</v>
      </c>
      <c r="AM18" s="28">
        <f t="shared" si="57"/>
        <v>-26</v>
      </c>
      <c r="AN18" s="29">
        <f t="shared" si="43"/>
        <v>97798.399999999994</v>
      </c>
      <c r="AO18" s="20">
        <f t="shared" ca="1" si="44"/>
        <v>64617.878134885381</v>
      </c>
      <c r="AP18" s="30">
        <v>0</v>
      </c>
      <c r="AQ18" s="20">
        <f t="shared" si="58"/>
        <v>0</v>
      </c>
      <c r="AR18" s="20">
        <f t="shared" ca="1" si="45"/>
        <v>0</v>
      </c>
      <c r="AS18" s="20">
        <f t="shared" si="46"/>
        <v>0</v>
      </c>
      <c r="AT18" s="20">
        <f t="shared" si="47"/>
        <v>0</v>
      </c>
      <c r="AU18" s="20">
        <f t="shared" si="48"/>
        <v>0</v>
      </c>
      <c r="AV18" s="31">
        <v>0</v>
      </c>
      <c r="AW18" s="20">
        <f t="shared" si="49"/>
        <v>0</v>
      </c>
      <c r="AX18" s="20">
        <f t="shared" ca="1" si="50"/>
        <v>0</v>
      </c>
      <c r="AY18" s="20">
        <f t="shared" si="51"/>
        <v>7800</v>
      </c>
      <c r="AZ18" s="20">
        <f t="shared" ca="1" si="52"/>
        <v>7246.2</v>
      </c>
      <c r="BA18" s="20">
        <f t="shared" si="59"/>
        <v>7800</v>
      </c>
      <c r="BB18" s="32">
        <f t="shared" si="53"/>
        <v>0</v>
      </c>
      <c r="BH18" s="19">
        <v>16</v>
      </c>
      <c r="BI18" s="23">
        <v>8</v>
      </c>
      <c r="BJ18" s="24">
        <v>0.18</v>
      </c>
    </row>
    <row r="19" spans="1:62" ht="39.950000000000003" customHeight="1" x14ac:dyDescent="0.25">
      <c r="A19" s="7">
        <f t="shared" ca="1" si="32"/>
        <v>0.27</v>
      </c>
      <c r="B19" s="8" t="s">
        <v>75</v>
      </c>
      <c r="C19" s="47">
        <v>97798.399999999994</v>
      </c>
      <c r="D19" s="47">
        <v>6761.53</v>
      </c>
      <c r="E19" s="48">
        <v>0</v>
      </c>
      <c r="F19" s="48">
        <v>0</v>
      </c>
      <c r="G19" s="48">
        <v>0</v>
      </c>
      <c r="H19" s="49">
        <v>26</v>
      </c>
      <c r="I19" s="50">
        <v>0</v>
      </c>
      <c r="J19" s="50" t="s">
        <v>1</v>
      </c>
      <c r="K19" s="9">
        <f t="shared" ca="1" si="33"/>
        <v>71845.852103305675</v>
      </c>
      <c r="L19" s="9">
        <f t="shared" ca="1" si="34"/>
        <v>7246.2</v>
      </c>
      <c r="M19" s="10">
        <f t="shared" ca="1" si="54"/>
        <v>79092.052103305672</v>
      </c>
      <c r="N19" s="4">
        <f t="shared" ca="1" si="35"/>
        <v>59941.617343999991</v>
      </c>
      <c r="O19" s="11">
        <f t="shared" si="36"/>
        <v>3259.9466666666663</v>
      </c>
      <c r="P19" s="4">
        <f t="shared" ca="1" si="37"/>
        <v>1998.0539114666662</v>
      </c>
      <c r="Q19" s="3">
        <f t="shared" ca="1" si="38"/>
        <v>4144.2093522999994</v>
      </c>
      <c r="R19" s="3">
        <f t="shared" ca="1" si="39"/>
        <v>0</v>
      </c>
      <c r="S19" s="3">
        <f t="shared" ca="1" si="40"/>
        <v>0</v>
      </c>
      <c r="T19" s="3">
        <f t="shared" ca="1" si="41"/>
        <v>0</v>
      </c>
      <c r="U19" s="65"/>
      <c r="V19" s="69"/>
      <c r="W19" s="72"/>
      <c r="X19" s="71"/>
      <c r="Y19" s="61"/>
      <c r="Z19" s="60"/>
      <c r="AA19" s="57"/>
      <c r="AB19" s="34" t="s">
        <v>29</v>
      </c>
      <c r="AC19" s="20">
        <f t="shared" ca="1" si="22"/>
        <v>104691.13246498175</v>
      </c>
      <c r="AD19" s="20">
        <f ca="1">COUNTIF(U1,"Ocak")*M15
+COUNTIF(U1,"Şubat")*M16
+COUNTIF(U1,"Mart")*M17
+COUNTIF(U1,"Nisan")*M18
+COUNTIF(U1,"Mayıs")*M19
+COUNTIF(U1,"Haziran")*M20
+COUNTIF(U1,"Temmuz")*M21
+COUNTIF(U1,"Ağustos")*M22
+COUNTIF(U1,"Eylül")*M23
+COUNTIF(U1,"Ekim")*M24
+COUNTIF(U1,"Kasım")*M25
+COUNTIF(U1,"Aralık")*M26
+COUNTIF(U1,"Yıllık Toplam")*(M27)*-1
+COUNTIF(U1,"Yıllık Ortalama")*(M28)*-1</f>
        <v>-104691.13246498175</v>
      </c>
      <c r="AE19" s="34">
        <f>(1.5)</f>
        <v>1.5</v>
      </c>
      <c r="AF19" s="19" t="s">
        <v>0</v>
      </c>
      <c r="AG19" s="20">
        <f>($AG$17*$AE$19)</f>
        <v>1040.9032500000001</v>
      </c>
      <c r="AH19" s="20">
        <f>($AH$17*$AE$19)</f>
        <v>1040.9032500000001</v>
      </c>
      <c r="AI19" s="27">
        <f t="shared" si="60"/>
        <v>46143</v>
      </c>
      <c r="AJ19" s="27">
        <f t="shared" si="42"/>
        <v>46173</v>
      </c>
      <c r="AK19" s="28">
        <f t="shared" si="55"/>
        <v>0</v>
      </c>
      <c r="AL19" s="28">
        <f t="shared" si="56"/>
        <v>26</v>
      </c>
      <c r="AM19" s="28">
        <f t="shared" si="57"/>
        <v>-26</v>
      </c>
      <c r="AN19" s="29">
        <f t="shared" si="43"/>
        <v>97798.399999999994</v>
      </c>
      <c r="AO19" s="20">
        <f t="shared" ca="1" si="44"/>
        <v>59941.617343999991</v>
      </c>
      <c r="AP19" s="30">
        <v>0</v>
      </c>
      <c r="AQ19" s="20">
        <f t="shared" si="58"/>
        <v>0</v>
      </c>
      <c r="AR19" s="20">
        <f t="shared" ca="1" si="45"/>
        <v>0</v>
      </c>
      <c r="AS19" s="20">
        <f t="shared" si="46"/>
        <v>0</v>
      </c>
      <c r="AT19" s="20">
        <f t="shared" si="47"/>
        <v>0</v>
      </c>
      <c r="AU19" s="20">
        <f t="shared" si="48"/>
        <v>0</v>
      </c>
      <c r="AV19" s="31">
        <v>0</v>
      </c>
      <c r="AW19" s="20">
        <f t="shared" si="49"/>
        <v>0</v>
      </c>
      <c r="AX19" s="20">
        <f t="shared" ca="1" si="50"/>
        <v>0</v>
      </c>
      <c r="AY19" s="20">
        <f t="shared" si="51"/>
        <v>7800</v>
      </c>
      <c r="AZ19" s="20">
        <f t="shared" ca="1" si="52"/>
        <v>7246.2</v>
      </c>
      <c r="BA19" s="20">
        <f t="shared" si="59"/>
        <v>7800</v>
      </c>
      <c r="BB19" s="32">
        <f t="shared" si="53"/>
        <v>0</v>
      </c>
      <c r="BH19" s="19">
        <v>17</v>
      </c>
      <c r="BI19" s="23">
        <v>8.5</v>
      </c>
      <c r="BJ19" s="24">
        <v>0.19</v>
      </c>
    </row>
    <row r="20" spans="1:62" ht="39.950000000000003" customHeight="1" x14ac:dyDescent="0.25">
      <c r="A20" s="7">
        <f t="shared" ca="1" si="32"/>
        <v>0.27</v>
      </c>
      <c r="B20" s="8" t="s">
        <v>76</v>
      </c>
      <c r="C20" s="47">
        <v>97798.399999999994</v>
      </c>
      <c r="D20" s="47">
        <v>6761.53</v>
      </c>
      <c r="E20" s="48">
        <v>0</v>
      </c>
      <c r="F20" s="48">
        <v>0</v>
      </c>
      <c r="G20" s="48">
        <v>0</v>
      </c>
      <c r="H20" s="49">
        <v>26</v>
      </c>
      <c r="I20" s="50">
        <v>0</v>
      </c>
      <c r="J20" s="50" t="s">
        <v>1</v>
      </c>
      <c r="K20" s="9">
        <f t="shared" ca="1" si="33"/>
        <v>131787.47224730565</v>
      </c>
      <c r="L20" s="9">
        <f t="shared" ca="1" si="34"/>
        <v>7246.2</v>
      </c>
      <c r="M20" s="10">
        <f t="shared" ca="1" si="54"/>
        <v>139033.67224730566</v>
      </c>
      <c r="N20" s="4">
        <f t="shared" ca="1" si="35"/>
        <v>59941.617343999991</v>
      </c>
      <c r="O20" s="11">
        <f t="shared" si="36"/>
        <v>3259.9466666666663</v>
      </c>
      <c r="P20" s="4">
        <f t="shared" ca="1" si="37"/>
        <v>1998.0539114666662</v>
      </c>
      <c r="Q20" s="3">
        <f t="shared" ca="1" si="38"/>
        <v>4144.2093522999994</v>
      </c>
      <c r="R20" s="3">
        <f t="shared" ca="1" si="39"/>
        <v>0</v>
      </c>
      <c r="S20" s="3">
        <f t="shared" ca="1" si="40"/>
        <v>0</v>
      </c>
      <c r="T20" s="3">
        <f t="shared" ca="1" si="41"/>
        <v>0</v>
      </c>
      <c r="U20" s="65"/>
      <c r="V20" s="69"/>
      <c r="W20" s="72"/>
      <c r="X20" s="71"/>
      <c r="Y20" s="61"/>
      <c r="Z20" s="60"/>
      <c r="AA20" s="57"/>
      <c r="AB20" s="34" t="s">
        <v>30</v>
      </c>
      <c r="AC20" s="20">
        <f t="shared" ca="1" si="22"/>
        <v>48718.823611412285</v>
      </c>
      <c r="AD20" s="20">
        <f ca="1">COUNTIF(U1,"Ocak")*(AI59-M15)
+COUNTIF(U1,"Şubat")*(AI60-M16)
+COUNTIF(U1,"Mart")*(AI61-M17)
+COUNTIF(U1,"Nisan")*(AI62-M18)
+COUNTIF(U1,"Mayıs")*(AI63-M19)
+COUNTIF(U1,"Haziran")*(AI64-M20)
+COUNTIF(U1,"Temmuz")*(AI65-M21)
+COUNTIF(U1,"Ağustos")*(AI66-M22)
+COUNTIF(U1,"Eylül")*(AI67-M23)
+COUNTIF(U1,"Ekim")*(AI68-M24)
+COUNTIF(U1,"Kasım")*(AI69-M25)
+COUNTIF(U1,"Aralık")*(AI70-M26)
+COUNTIF(U1,"Yıllık Toplam")*(AI71-M27)*-1
+COUNTIF(U1,"Yıllık Ortalama")*(AI72-M28)*-1</f>
        <v>-48718.823611412285</v>
      </c>
      <c r="AE20" s="19" t="s">
        <v>0</v>
      </c>
      <c r="AF20" s="19" t="s">
        <v>0</v>
      </c>
      <c r="AG20" s="20">
        <f>($AG$19/2)</f>
        <v>520.45162500000004</v>
      </c>
      <c r="AH20" s="20">
        <f>($AH$19/2)</f>
        <v>520.45162500000004</v>
      </c>
      <c r="AI20" s="27">
        <f t="shared" si="60"/>
        <v>46174</v>
      </c>
      <c r="AJ20" s="27">
        <f t="shared" si="42"/>
        <v>46203</v>
      </c>
      <c r="AK20" s="28">
        <f t="shared" si="55"/>
        <v>0</v>
      </c>
      <c r="AL20" s="28">
        <f t="shared" si="56"/>
        <v>26</v>
      </c>
      <c r="AM20" s="28">
        <f t="shared" si="57"/>
        <v>-26</v>
      </c>
      <c r="AN20" s="29">
        <f t="shared" si="43"/>
        <v>97798.399999999994</v>
      </c>
      <c r="AO20" s="20">
        <f t="shared" ca="1" si="44"/>
        <v>59941.617343999991</v>
      </c>
      <c r="AP20" s="30">
        <v>0</v>
      </c>
      <c r="AQ20" s="20">
        <f t="shared" si="58"/>
        <v>0</v>
      </c>
      <c r="AR20" s="20">
        <f t="shared" ca="1" si="45"/>
        <v>0</v>
      </c>
      <c r="AS20" s="20">
        <f t="shared" si="46"/>
        <v>0</v>
      </c>
      <c r="AT20" s="20">
        <f t="shared" si="47"/>
        <v>0</v>
      </c>
      <c r="AU20" s="20">
        <f t="shared" si="48"/>
        <v>0</v>
      </c>
      <c r="AV20" s="31">
        <v>0</v>
      </c>
      <c r="AW20" s="20">
        <f t="shared" si="49"/>
        <v>0</v>
      </c>
      <c r="AX20" s="20">
        <f t="shared" ca="1" si="50"/>
        <v>0</v>
      </c>
      <c r="AY20" s="20">
        <f t="shared" si="51"/>
        <v>7800</v>
      </c>
      <c r="AZ20" s="20">
        <f t="shared" ca="1" si="52"/>
        <v>7246.2</v>
      </c>
      <c r="BA20" s="20">
        <f t="shared" si="59"/>
        <v>7800</v>
      </c>
      <c r="BB20" s="32">
        <f t="shared" si="53"/>
        <v>0</v>
      </c>
      <c r="BH20" s="19">
        <v>18</v>
      </c>
      <c r="BI20" s="23">
        <v>9</v>
      </c>
      <c r="BJ20" s="24">
        <v>0.2</v>
      </c>
    </row>
    <row r="21" spans="1:62" ht="39.950000000000003" customHeight="1" x14ac:dyDescent="0.25">
      <c r="A21" s="7">
        <f t="shared" ca="1" si="32"/>
        <v>0.27</v>
      </c>
      <c r="B21" s="8" t="s">
        <v>77</v>
      </c>
      <c r="C21" s="47">
        <v>97798.399999999994</v>
      </c>
      <c r="D21" s="47">
        <v>6761.53</v>
      </c>
      <c r="E21" s="48">
        <v>0</v>
      </c>
      <c r="F21" s="48">
        <v>0</v>
      </c>
      <c r="G21" s="48">
        <v>0</v>
      </c>
      <c r="H21" s="49">
        <v>26</v>
      </c>
      <c r="I21" s="50">
        <v>0</v>
      </c>
      <c r="J21" s="50" t="s">
        <v>1</v>
      </c>
      <c r="K21" s="9">
        <f t="shared" ca="1" si="33"/>
        <v>72172.272103305673</v>
      </c>
      <c r="L21" s="9">
        <f t="shared" ca="1" si="34"/>
        <v>7246.2</v>
      </c>
      <c r="M21" s="10">
        <f t="shared" ca="1" si="54"/>
        <v>79418.47210330567</v>
      </c>
      <c r="N21" s="4">
        <f t="shared" ca="1" si="35"/>
        <v>59941.617343999991</v>
      </c>
      <c r="O21" s="11">
        <f t="shared" si="36"/>
        <v>3259.9466666666663</v>
      </c>
      <c r="P21" s="4">
        <f t="shared" ca="1" si="37"/>
        <v>1998.0539114666662</v>
      </c>
      <c r="Q21" s="3">
        <f t="shared" ca="1" si="38"/>
        <v>4144.2093522999994</v>
      </c>
      <c r="R21" s="3">
        <f t="shared" ca="1" si="39"/>
        <v>0</v>
      </c>
      <c r="S21" s="3">
        <f t="shared" ca="1" si="40"/>
        <v>0</v>
      </c>
      <c r="T21" s="3">
        <f t="shared" ca="1" si="41"/>
        <v>0</v>
      </c>
      <c r="U21" s="65"/>
      <c r="V21" s="69"/>
      <c r="W21" s="72"/>
      <c r="X21" s="71"/>
      <c r="Y21" s="61"/>
      <c r="Z21" s="60"/>
      <c r="AA21" s="57"/>
      <c r="AB21" s="35" t="s">
        <v>10</v>
      </c>
      <c r="AC21" s="35" t="s">
        <v>59</v>
      </c>
      <c r="AI21" s="27">
        <f t="shared" si="60"/>
        <v>46204</v>
      </c>
      <c r="AJ21" s="27">
        <f t="shared" si="42"/>
        <v>46234</v>
      </c>
      <c r="AK21" s="28">
        <f t="shared" si="55"/>
        <v>0</v>
      </c>
      <c r="AL21" s="28">
        <f t="shared" si="56"/>
        <v>27</v>
      </c>
      <c r="AM21" s="28">
        <f t="shared" si="57"/>
        <v>-27</v>
      </c>
      <c r="AN21" s="29">
        <f t="shared" si="43"/>
        <v>97798.399999999994</v>
      </c>
      <c r="AO21" s="20">
        <f t="shared" ca="1" si="44"/>
        <v>59941.617343999991</v>
      </c>
      <c r="AP21" s="30">
        <v>0</v>
      </c>
      <c r="AQ21" s="20">
        <f t="shared" si="58"/>
        <v>0</v>
      </c>
      <c r="AR21" s="20">
        <f t="shared" ca="1" si="45"/>
        <v>0</v>
      </c>
      <c r="AS21" s="20">
        <f t="shared" si="46"/>
        <v>0</v>
      </c>
      <c r="AT21" s="20">
        <f t="shared" si="47"/>
        <v>0</v>
      </c>
      <c r="AU21" s="20">
        <f t="shared" si="48"/>
        <v>0</v>
      </c>
      <c r="AV21" s="31">
        <v>0</v>
      </c>
      <c r="AW21" s="20">
        <f t="shared" si="49"/>
        <v>0</v>
      </c>
      <c r="AX21" s="20">
        <f t="shared" ca="1" si="50"/>
        <v>0</v>
      </c>
      <c r="AY21" s="20">
        <f t="shared" si="51"/>
        <v>7800</v>
      </c>
      <c r="AZ21" s="20">
        <f t="shared" ca="1" si="52"/>
        <v>7246.2</v>
      </c>
      <c r="BA21" s="20">
        <f t="shared" si="59"/>
        <v>7800</v>
      </c>
      <c r="BB21" s="32">
        <f t="shared" si="53"/>
        <v>0</v>
      </c>
      <c r="BH21" s="19">
        <v>19</v>
      </c>
      <c r="BI21" s="23">
        <v>9.5</v>
      </c>
      <c r="BJ21" s="24">
        <v>0.21</v>
      </c>
    </row>
    <row r="22" spans="1:62" ht="39.950000000000003" customHeight="1" x14ac:dyDescent="0.25">
      <c r="A22" s="7">
        <f t="shared" ca="1" si="32"/>
        <v>0.27</v>
      </c>
      <c r="B22" s="8" t="s">
        <v>78</v>
      </c>
      <c r="C22" s="47">
        <v>97798.399999999994</v>
      </c>
      <c r="D22" s="47">
        <v>6761.53</v>
      </c>
      <c r="E22" s="48">
        <v>0</v>
      </c>
      <c r="F22" s="48">
        <v>0</v>
      </c>
      <c r="G22" s="48">
        <v>0</v>
      </c>
      <c r="H22" s="49">
        <v>26</v>
      </c>
      <c r="I22" s="50">
        <v>0</v>
      </c>
      <c r="J22" s="50" t="s">
        <v>1</v>
      </c>
      <c r="K22" s="9">
        <f t="shared" ca="1" si="33"/>
        <v>73249.622103305664</v>
      </c>
      <c r="L22" s="9">
        <f t="shared" ca="1" si="34"/>
        <v>7246.2</v>
      </c>
      <c r="M22" s="10">
        <f t="shared" ca="1" si="54"/>
        <v>80495.822103305662</v>
      </c>
      <c r="N22" s="4">
        <f t="shared" ca="1" si="35"/>
        <v>59941.617343999991</v>
      </c>
      <c r="O22" s="11">
        <f t="shared" si="36"/>
        <v>3259.9466666666663</v>
      </c>
      <c r="P22" s="4">
        <f t="shared" ca="1" si="37"/>
        <v>1998.0539114666662</v>
      </c>
      <c r="Q22" s="3">
        <f t="shared" ca="1" si="38"/>
        <v>4144.2093522999994</v>
      </c>
      <c r="R22" s="3">
        <f t="shared" ca="1" si="39"/>
        <v>0</v>
      </c>
      <c r="S22" s="3">
        <f t="shared" ca="1" si="40"/>
        <v>0</v>
      </c>
      <c r="T22" s="3">
        <f t="shared" ca="1" si="41"/>
        <v>0</v>
      </c>
      <c r="U22" s="65"/>
      <c r="V22" s="69"/>
      <c r="W22" s="72"/>
      <c r="X22" s="71"/>
      <c r="Y22" s="61"/>
      <c r="Z22" s="60"/>
      <c r="AA22" s="57"/>
      <c r="AB22" s="36" t="s">
        <v>9</v>
      </c>
      <c r="AC22" s="37" t="s">
        <v>92</v>
      </c>
      <c r="AE22" s="19">
        <f>(1500)</f>
        <v>1500</v>
      </c>
      <c r="AF22" s="19" t="s">
        <v>0</v>
      </c>
      <c r="AG22" s="20">
        <f>($AE$29*$AE$22)</f>
        <v>2081.8065000000001</v>
      </c>
      <c r="AH22" s="20">
        <f>($AF$29*$AE$22)</f>
        <v>2081.8065000000001</v>
      </c>
      <c r="AI22" s="27">
        <f t="shared" si="60"/>
        <v>46235</v>
      </c>
      <c r="AJ22" s="27">
        <f t="shared" si="42"/>
        <v>46265</v>
      </c>
      <c r="AK22" s="28">
        <f t="shared" si="55"/>
        <v>0</v>
      </c>
      <c r="AL22" s="28">
        <f t="shared" si="56"/>
        <v>26</v>
      </c>
      <c r="AM22" s="28">
        <f t="shared" si="57"/>
        <v>-26</v>
      </c>
      <c r="AN22" s="29">
        <f t="shared" si="43"/>
        <v>97798.399999999994</v>
      </c>
      <c r="AO22" s="20">
        <f t="shared" ca="1" si="44"/>
        <v>59941.617343999991</v>
      </c>
      <c r="AP22" s="30">
        <v>0</v>
      </c>
      <c r="AQ22" s="20">
        <f t="shared" si="58"/>
        <v>0</v>
      </c>
      <c r="AR22" s="20">
        <f t="shared" ca="1" si="45"/>
        <v>0</v>
      </c>
      <c r="AS22" s="20">
        <f t="shared" si="46"/>
        <v>0</v>
      </c>
      <c r="AT22" s="20">
        <f t="shared" si="47"/>
        <v>0</v>
      </c>
      <c r="AU22" s="20">
        <f t="shared" si="48"/>
        <v>0</v>
      </c>
      <c r="AV22" s="31">
        <v>0</v>
      </c>
      <c r="AW22" s="20">
        <f t="shared" si="49"/>
        <v>0</v>
      </c>
      <c r="AX22" s="20">
        <f t="shared" ca="1" si="50"/>
        <v>0</v>
      </c>
      <c r="AY22" s="20">
        <f t="shared" si="51"/>
        <v>7800</v>
      </c>
      <c r="AZ22" s="20">
        <f t="shared" ca="1" si="52"/>
        <v>7246.2</v>
      </c>
      <c r="BA22" s="20">
        <f t="shared" si="59"/>
        <v>7800</v>
      </c>
      <c r="BB22" s="32">
        <f t="shared" si="53"/>
        <v>0</v>
      </c>
      <c r="BH22" s="19">
        <v>20</v>
      </c>
      <c r="BI22" s="23">
        <v>10</v>
      </c>
      <c r="BJ22" s="24">
        <v>0.22</v>
      </c>
    </row>
    <row r="23" spans="1:62" ht="39.950000000000003" customHeight="1" x14ac:dyDescent="0.25">
      <c r="A23" s="7">
        <f t="shared" ca="1" si="32"/>
        <v>0.27</v>
      </c>
      <c r="B23" s="8" t="s">
        <v>79</v>
      </c>
      <c r="C23" s="47">
        <v>112468.16</v>
      </c>
      <c r="D23" s="47">
        <v>7775.76</v>
      </c>
      <c r="E23" s="48">
        <v>0</v>
      </c>
      <c r="F23" s="48">
        <v>0</v>
      </c>
      <c r="G23" s="48">
        <v>0</v>
      </c>
      <c r="H23" s="49">
        <v>26</v>
      </c>
      <c r="I23" s="50">
        <v>0</v>
      </c>
      <c r="J23" s="50" t="s">
        <v>1</v>
      </c>
      <c r="K23" s="9">
        <f t="shared" ca="1" si="33"/>
        <v>145801.19977040566</v>
      </c>
      <c r="L23" s="9">
        <f t="shared" ca="1" si="34"/>
        <v>7246.2</v>
      </c>
      <c r="M23" s="10">
        <f t="shared" ca="1" si="54"/>
        <v>153047.39977040567</v>
      </c>
      <c r="N23" s="4">
        <f t="shared" ca="1" si="35"/>
        <v>68932.859945599994</v>
      </c>
      <c r="O23" s="11">
        <f t="shared" si="36"/>
        <v>3748.9386666666669</v>
      </c>
      <c r="P23" s="4">
        <f t="shared" ca="1" si="37"/>
        <v>2297.7619981866665</v>
      </c>
      <c r="Q23" s="3">
        <f t="shared" ca="1" si="38"/>
        <v>4765.8410616000001</v>
      </c>
      <c r="R23" s="3">
        <f t="shared" ca="1" si="39"/>
        <v>0</v>
      </c>
      <c r="S23" s="3">
        <f t="shared" ca="1" si="40"/>
        <v>0</v>
      </c>
      <c r="T23" s="3">
        <f t="shared" ca="1" si="41"/>
        <v>0</v>
      </c>
      <c r="U23" s="65"/>
      <c r="V23" s="69"/>
      <c r="W23" s="72"/>
      <c r="X23" s="71"/>
      <c r="Y23" s="61"/>
      <c r="Z23" s="60"/>
      <c r="AA23" s="57"/>
      <c r="AB23" s="36" t="s">
        <v>11</v>
      </c>
      <c r="AC23" s="38" t="s">
        <v>35</v>
      </c>
      <c r="AE23" s="19">
        <f>(8000)</f>
        <v>8000</v>
      </c>
      <c r="AF23" s="19" t="s">
        <v>0</v>
      </c>
      <c r="AG23" s="20">
        <f>($AE$29*$AE$23)</f>
        <v>11102.968000000001</v>
      </c>
      <c r="AH23" s="20">
        <f>($AF$29*$AE$23)</f>
        <v>11102.968000000001</v>
      </c>
      <c r="AI23" s="27">
        <f t="shared" si="60"/>
        <v>46266</v>
      </c>
      <c r="AJ23" s="27">
        <f t="shared" si="42"/>
        <v>46295</v>
      </c>
      <c r="AK23" s="28">
        <f t="shared" si="55"/>
        <v>0</v>
      </c>
      <c r="AL23" s="28">
        <f t="shared" si="56"/>
        <v>26</v>
      </c>
      <c r="AM23" s="28">
        <f t="shared" si="57"/>
        <v>-26</v>
      </c>
      <c r="AN23" s="29">
        <f t="shared" si="43"/>
        <v>112468.16</v>
      </c>
      <c r="AO23" s="20">
        <f t="shared" ca="1" si="44"/>
        <v>68932.859945599994</v>
      </c>
      <c r="AP23" s="30">
        <v>0</v>
      </c>
      <c r="AQ23" s="20">
        <f t="shared" si="58"/>
        <v>0</v>
      </c>
      <c r="AR23" s="20">
        <f t="shared" ca="1" si="45"/>
        <v>0</v>
      </c>
      <c r="AS23" s="20">
        <f t="shared" si="46"/>
        <v>0</v>
      </c>
      <c r="AT23" s="20">
        <f t="shared" si="47"/>
        <v>0</v>
      </c>
      <c r="AU23" s="20">
        <f t="shared" si="48"/>
        <v>0</v>
      </c>
      <c r="AV23" s="31">
        <v>0</v>
      </c>
      <c r="AW23" s="20">
        <f t="shared" si="49"/>
        <v>0</v>
      </c>
      <c r="AX23" s="20">
        <f t="shared" ca="1" si="50"/>
        <v>0</v>
      </c>
      <c r="AY23" s="20">
        <f t="shared" si="51"/>
        <v>7800</v>
      </c>
      <c r="AZ23" s="20">
        <f t="shared" ca="1" si="52"/>
        <v>7246.2</v>
      </c>
      <c r="BA23" s="20">
        <f t="shared" si="59"/>
        <v>7800</v>
      </c>
      <c r="BB23" s="32">
        <f t="shared" si="53"/>
        <v>0</v>
      </c>
      <c r="BH23" s="19">
        <v>21</v>
      </c>
      <c r="BI23" s="23">
        <v>10.5</v>
      </c>
      <c r="BJ23" s="24">
        <v>0.23</v>
      </c>
    </row>
    <row r="24" spans="1:62" ht="39.950000000000003" customHeight="1" x14ac:dyDescent="0.25">
      <c r="A24" s="7">
        <f t="shared" ca="1" si="32"/>
        <v>0.27</v>
      </c>
      <c r="B24" s="8" t="s">
        <v>80</v>
      </c>
      <c r="C24" s="47">
        <v>112468.16</v>
      </c>
      <c r="D24" s="47">
        <v>7775.76</v>
      </c>
      <c r="E24" s="48">
        <v>0</v>
      </c>
      <c r="F24" s="48">
        <v>0</v>
      </c>
      <c r="G24" s="48">
        <v>0</v>
      </c>
      <c r="H24" s="49">
        <v>26</v>
      </c>
      <c r="I24" s="50">
        <v>0</v>
      </c>
      <c r="J24" s="50" t="s">
        <v>1</v>
      </c>
      <c r="K24" s="9">
        <f t="shared" ca="1" si="33"/>
        <v>82862.502119205674</v>
      </c>
      <c r="L24" s="9">
        <f t="shared" ca="1" si="34"/>
        <v>7246.2</v>
      </c>
      <c r="M24" s="10">
        <f t="shared" ca="1" si="54"/>
        <v>90108.702119205671</v>
      </c>
      <c r="N24" s="4">
        <f t="shared" ca="1" si="35"/>
        <v>68932.859945599994</v>
      </c>
      <c r="O24" s="11">
        <f t="shared" si="36"/>
        <v>3748.9386666666669</v>
      </c>
      <c r="P24" s="4">
        <f t="shared" ca="1" si="37"/>
        <v>2297.7619981866665</v>
      </c>
      <c r="Q24" s="3">
        <f t="shared" ca="1" si="38"/>
        <v>4765.8410616000001</v>
      </c>
      <c r="R24" s="3">
        <f t="shared" ca="1" si="39"/>
        <v>0</v>
      </c>
      <c r="S24" s="3">
        <f t="shared" ca="1" si="40"/>
        <v>0</v>
      </c>
      <c r="T24" s="3">
        <f t="shared" ca="1" si="41"/>
        <v>0</v>
      </c>
      <c r="U24" s="65"/>
      <c r="V24" s="69"/>
      <c r="W24" s="72"/>
      <c r="X24" s="71"/>
      <c r="Y24" s="61"/>
      <c r="Z24" s="60"/>
      <c r="AA24" s="57"/>
      <c r="AB24" s="36" t="s">
        <v>31</v>
      </c>
      <c r="AC24" s="20" t="s">
        <v>40</v>
      </c>
      <c r="AE24" s="19">
        <f>(500)</f>
        <v>500</v>
      </c>
      <c r="AF24" s="19" t="s">
        <v>0</v>
      </c>
      <c r="AG24" s="20">
        <f>($AE$29*$AE$24)</f>
        <v>693.93550000000005</v>
      </c>
      <c r="AH24" s="20">
        <f>($AF$29*$AE$24)</f>
        <v>693.93550000000005</v>
      </c>
      <c r="AI24" s="27">
        <f t="shared" si="60"/>
        <v>46296</v>
      </c>
      <c r="AJ24" s="27">
        <f t="shared" si="42"/>
        <v>46326</v>
      </c>
      <c r="AK24" s="28">
        <f t="shared" si="55"/>
        <v>0</v>
      </c>
      <c r="AL24" s="28">
        <f t="shared" si="56"/>
        <v>27</v>
      </c>
      <c r="AM24" s="28">
        <f t="shared" si="57"/>
        <v>-27</v>
      </c>
      <c r="AN24" s="29">
        <f t="shared" si="43"/>
        <v>112468.16</v>
      </c>
      <c r="AO24" s="20">
        <f t="shared" ca="1" si="44"/>
        <v>68932.859945599994</v>
      </c>
      <c r="AP24" s="30">
        <v>0</v>
      </c>
      <c r="AQ24" s="20">
        <f t="shared" si="58"/>
        <v>0</v>
      </c>
      <c r="AR24" s="20">
        <f t="shared" ca="1" si="45"/>
        <v>0</v>
      </c>
      <c r="AS24" s="20">
        <f t="shared" si="46"/>
        <v>0</v>
      </c>
      <c r="AT24" s="20">
        <f t="shared" si="47"/>
        <v>0</v>
      </c>
      <c r="AU24" s="20">
        <f t="shared" si="48"/>
        <v>0</v>
      </c>
      <c r="AV24" s="31">
        <v>0</v>
      </c>
      <c r="AW24" s="20">
        <f t="shared" si="49"/>
        <v>0</v>
      </c>
      <c r="AX24" s="20">
        <f t="shared" ca="1" si="50"/>
        <v>0</v>
      </c>
      <c r="AY24" s="20">
        <f t="shared" si="51"/>
        <v>7800</v>
      </c>
      <c r="AZ24" s="20">
        <f t="shared" ca="1" si="52"/>
        <v>7246.2</v>
      </c>
      <c r="BA24" s="20">
        <f t="shared" si="59"/>
        <v>7800</v>
      </c>
      <c r="BB24" s="32">
        <f t="shared" si="53"/>
        <v>0</v>
      </c>
      <c r="BH24" s="19">
        <v>22</v>
      </c>
      <c r="BI24" s="23">
        <v>11</v>
      </c>
      <c r="BJ24" s="24">
        <v>0.24</v>
      </c>
    </row>
    <row r="25" spans="1:62" ht="39.950000000000003" customHeight="1" x14ac:dyDescent="0.25">
      <c r="A25" s="7">
        <f t="shared" ca="1" si="32"/>
        <v>0.27</v>
      </c>
      <c r="B25" s="8" t="s">
        <v>81</v>
      </c>
      <c r="C25" s="47">
        <v>112468.16</v>
      </c>
      <c r="D25" s="47">
        <v>7775.76</v>
      </c>
      <c r="E25" s="48">
        <v>0</v>
      </c>
      <c r="F25" s="48">
        <v>0</v>
      </c>
      <c r="G25" s="48">
        <v>0</v>
      </c>
      <c r="H25" s="49">
        <v>26</v>
      </c>
      <c r="I25" s="50">
        <v>0</v>
      </c>
      <c r="J25" s="50" t="s">
        <v>1</v>
      </c>
      <c r="K25" s="9">
        <f t="shared" ca="1" si="33"/>
        <v>82862.502119205674</v>
      </c>
      <c r="L25" s="9">
        <f t="shared" ca="1" si="34"/>
        <v>7246.2</v>
      </c>
      <c r="M25" s="10">
        <f t="shared" ca="1" si="54"/>
        <v>90108.702119205671</v>
      </c>
      <c r="N25" s="4">
        <f t="shared" ca="1" si="35"/>
        <v>68932.859945599994</v>
      </c>
      <c r="O25" s="11">
        <f t="shared" si="36"/>
        <v>3748.9386666666669</v>
      </c>
      <c r="P25" s="4">
        <f t="shared" ca="1" si="37"/>
        <v>2297.7619981866665</v>
      </c>
      <c r="Q25" s="3">
        <f t="shared" ca="1" si="38"/>
        <v>4765.8410616000001</v>
      </c>
      <c r="R25" s="3">
        <f t="shared" ca="1" si="39"/>
        <v>0</v>
      </c>
      <c r="S25" s="3">
        <f t="shared" ca="1" si="40"/>
        <v>0</v>
      </c>
      <c r="T25" s="3">
        <f t="shared" ca="1" si="41"/>
        <v>0</v>
      </c>
      <c r="U25" s="65"/>
      <c r="V25" s="69"/>
      <c r="W25" s="72"/>
      <c r="X25" s="71"/>
      <c r="Y25" s="61"/>
      <c r="Z25" s="60"/>
      <c r="AA25" s="57"/>
      <c r="AB25" s="36" t="s">
        <v>15</v>
      </c>
      <c r="AC25" s="38" t="s">
        <v>36</v>
      </c>
      <c r="AE25" s="19">
        <f>(1000)</f>
        <v>1000</v>
      </c>
      <c r="AF25" s="19" t="s">
        <v>0</v>
      </c>
      <c r="AG25" s="20">
        <f>($AE$30*$AE$25)</f>
        <v>22722.792999999998</v>
      </c>
      <c r="AH25" s="20">
        <f>($AF$30*$AE$25)</f>
        <v>22722.792999999998</v>
      </c>
      <c r="AI25" s="27">
        <f t="shared" si="60"/>
        <v>46327</v>
      </c>
      <c r="AJ25" s="27">
        <f t="shared" si="42"/>
        <v>46356</v>
      </c>
      <c r="AK25" s="28">
        <f t="shared" si="55"/>
        <v>0</v>
      </c>
      <c r="AL25" s="28">
        <f t="shared" si="56"/>
        <v>25</v>
      </c>
      <c r="AM25" s="28">
        <f t="shared" si="57"/>
        <v>-25</v>
      </c>
      <c r="AN25" s="29">
        <f t="shared" si="43"/>
        <v>112468.16</v>
      </c>
      <c r="AO25" s="20">
        <f t="shared" ca="1" si="44"/>
        <v>68932.859945599994</v>
      </c>
      <c r="AP25" s="30">
        <v>0</v>
      </c>
      <c r="AQ25" s="20">
        <f t="shared" si="58"/>
        <v>0</v>
      </c>
      <c r="AR25" s="20">
        <f t="shared" ca="1" si="45"/>
        <v>0</v>
      </c>
      <c r="AS25" s="20">
        <f t="shared" si="46"/>
        <v>0</v>
      </c>
      <c r="AT25" s="20">
        <f t="shared" si="47"/>
        <v>0</v>
      </c>
      <c r="AU25" s="20">
        <f t="shared" si="48"/>
        <v>0</v>
      </c>
      <c r="AV25" s="31">
        <v>0</v>
      </c>
      <c r="AW25" s="20">
        <f t="shared" si="49"/>
        <v>0</v>
      </c>
      <c r="AX25" s="20">
        <f t="shared" ca="1" si="50"/>
        <v>0</v>
      </c>
      <c r="AY25" s="20">
        <f t="shared" si="51"/>
        <v>7800</v>
      </c>
      <c r="AZ25" s="20">
        <f t="shared" ca="1" si="52"/>
        <v>7246.2</v>
      </c>
      <c r="BA25" s="20">
        <f t="shared" si="59"/>
        <v>7800</v>
      </c>
      <c r="BB25" s="32">
        <f t="shared" si="53"/>
        <v>0</v>
      </c>
      <c r="BH25" s="19">
        <v>23</v>
      </c>
      <c r="BI25" s="23">
        <v>11.5</v>
      </c>
      <c r="BJ25" s="24">
        <v>0.25</v>
      </c>
    </row>
    <row r="26" spans="1:62" ht="39.950000000000003" customHeight="1" x14ac:dyDescent="0.25">
      <c r="A26" s="7">
        <f t="shared" ca="1" si="32"/>
        <v>0.27</v>
      </c>
      <c r="B26" s="8" t="s">
        <v>82</v>
      </c>
      <c r="C26" s="47">
        <v>112468.16</v>
      </c>
      <c r="D26" s="47">
        <v>7775.76</v>
      </c>
      <c r="E26" s="48">
        <v>0</v>
      </c>
      <c r="F26" s="48">
        <v>0</v>
      </c>
      <c r="G26" s="48">
        <v>0</v>
      </c>
      <c r="H26" s="49">
        <v>26</v>
      </c>
      <c r="I26" s="50">
        <v>0</v>
      </c>
      <c r="J26" s="50" t="s">
        <v>1</v>
      </c>
      <c r="K26" s="9">
        <f t="shared" ca="1" si="33"/>
        <v>151795.35478480571</v>
      </c>
      <c r="L26" s="9">
        <f t="shared" ca="1" si="34"/>
        <v>7246.2</v>
      </c>
      <c r="M26" s="10">
        <f t="shared" ca="1" si="54"/>
        <v>159041.55478480572</v>
      </c>
      <c r="N26" s="4">
        <f t="shared" ca="1" si="35"/>
        <v>68932.859945599994</v>
      </c>
      <c r="O26" s="11">
        <f t="shared" si="36"/>
        <v>3748.9386666666669</v>
      </c>
      <c r="P26" s="4">
        <f t="shared" ca="1" si="37"/>
        <v>2297.7619981866665</v>
      </c>
      <c r="Q26" s="3">
        <f t="shared" ca="1" si="38"/>
        <v>4765.8410616000001</v>
      </c>
      <c r="R26" s="3">
        <f t="shared" ca="1" si="39"/>
        <v>0</v>
      </c>
      <c r="S26" s="3">
        <f t="shared" ca="1" si="40"/>
        <v>0</v>
      </c>
      <c r="T26" s="3">
        <f t="shared" ca="1" si="41"/>
        <v>0</v>
      </c>
      <c r="U26" s="65"/>
      <c r="V26" s="69"/>
      <c r="W26" s="72"/>
      <c r="X26" s="71"/>
      <c r="Y26" s="61"/>
      <c r="Z26" s="60"/>
      <c r="AA26" s="57"/>
      <c r="AB26" s="36" t="s">
        <v>13</v>
      </c>
      <c r="AC26" s="37" t="s">
        <v>93</v>
      </c>
      <c r="AE26" s="19">
        <f>($AE$22+$AE$23)</f>
        <v>9500</v>
      </c>
      <c r="AF26" s="19">
        <f>(2.15)</f>
        <v>2.15</v>
      </c>
      <c r="AG26" s="20">
        <f>($AE$29*$AE$26*$AF$26)</f>
        <v>28347.265175</v>
      </c>
      <c r="AH26" s="20">
        <f>($AF$29*$AE$26*$AF$26)</f>
        <v>28347.265175</v>
      </c>
      <c r="AI26" s="27">
        <f t="shared" si="60"/>
        <v>46357</v>
      </c>
      <c r="AJ26" s="27">
        <f t="shared" si="42"/>
        <v>46387</v>
      </c>
      <c r="AK26" s="28">
        <f t="shared" si="55"/>
        <v>0</v>
      </c>
      <c r="AL26" s="28">
        <f t="shared" si="56"/>
        <v>27</v>
      </c>
      <c r="AM26" s="28">
        <f t="shared" si="57"/>
        <v>-27</v>
      </c>
      <c r="AN26" s="29">
        <f t="shared" si="43"/>
        <v>112468.16</v>
      </c>
      <c r="AO26" s="20">
        <f t="shared" ca="1" si="44"/>
        <v>68932.859945599994</v>
      </c>
      <c r="AP26" s="30">
        <v>0</v>
      </c>
      <c r="AQ26" s="20">
        <f t="shared" si="58"/>
        <v>0</v>
      </c>
      <c r="AR26" s="20">
        <f t="shared" ca="1" si="45"/>
        <v>0</v>
      </c>
      <c r="AS26" s="20">
        <f t="shared" si="46"/>
        <v>0</v>
      </c>
      <c r="AT26" s="20">
        <f t="shared" si="47"/>
        <v>0</v>
      </c>
      <c r="AU26" s="20">
        <f t="shared" si="48"/>
        <v>0</v>
      </c>
      <c r="AV26" s="31">
        <v>0</v>
      </c>
      <c r="AW26" s="20">
        <f t="shared" si="49"/>
        <v>0</v>
      </c>
      <c r="AX26" s="20">
        <f t="shared" ca="1" si="50"/>
        <v>0</v>
      </c>
      <c r="AY26" s="20">
        <f t="shared" si="51"/>
        <v>7800</v>
      </c>
      <c r="AZ26" s="20">
        <f t="shared" ca="1" si="52"/>
        <v>7246.2</v>
      </c>
      <c r="BA26" s="20">
        <f t="shared" si="59"/>
        <v>7800</v>
      </c>
      <c r="BB26" s="32">
        <f t="shared" si="53"/>
        <v>0</v>
      </c>
      <c r="BH26" s="19">
        <v>24</v>
      </c>
      <c r="BI26" s="23">
        <v>12</v>
      </c>
      <c r="BJ26" s="24">
        <v>0.26</v>
      </c>
    </row>
    <row r="27" spans="1:62" ht="39.950000000000003" customHeight="1" x14ac:dyDescent="0.25">
      <c r="A27" s="12" t="s">
        <v>0</v>
      </c>
      <c r="B27" s="8" t="s">
        <v>62</v>
      </c>
      <c r="C27" s="5">
        <f t="shared" ref="C27:H27" si="61">(C15+C16+C17+C18+C19+C20+C21+C22+C23+C24+C25+C26)</f>
        <v>1202423.04</v>
      </c>
      <c r="D27" s="5">
        <f t="shared" si="61"/>
        <v>83132.439999999988</v>
      </c>
      <c r="E27" s="15">
        <f t="shared" si="61"/>
        <v>0</v>
      </c>
      <c r="F27" s="15">
        <f t="shared" si="61"/>
        <v>0</v>
      </c>
      <c r="G27" s="15">
        <f t="shared" si="61"/>
        <v>0</v>
      </c>
      <c r="H27" s="16">
        <f t="shared" si="61"/>
        <v>312</v>
      </c>
      <c r="I27" s="1" t="s">
        <v>0</v>
      </c>
      <c r="J27" s="1" t="s">
        <v>0</v>
      </c>
      <c r="K27" s="13">
        <f t="shared" ref="K27" ca="1" si="62">(K15+K16+K17+K18+K19+K20+K21+K22+K23+K24+K25+K26)</f>
        <v>1169339.1895797811</v>
      </c>
      <c r="L27" s="13">
        <f t="shared" ref="L27" ca="1" si="63">(L15+L16+L17+L18+L19+L20+L21+L22+L23+L24+L25+L26)</f>
        <v>86954.39999999998</v>
      </c>
      <c r="M27" s="14">
        <f t="shared" ref="M27" ca="1" si="64">(M15+M16+M17+M18+M19+M20+M21+M22+M23+M24+M25+M26)</f>
        <v>1256293.5895797811</v>
      </c>
      <c r="N27" s="5">
        <f t="shared" ref="N27:P27" ca="1" si="65">(N15+N16+N17+N18+N19+N20+N21+N22+N23+N24+N25+N26)</f>
        <v>765185.58087109088</v>
      </c>
      <c r="O27" s="5">
        <f t="shared" si="65"/>
        <v>40080.768000000004</v>
      </c>
      <c r="P27" s="5">
        <f t="shared" ca="1" si="65"/>
        <v>25506.186029036355</v>
      </c>
      <c r="Q27" s="5">
        <f t="shared" ref="Q27" ca="1" si="66">(Q15+Q16+Q17+Q18+Q19+Q20+Q21+Q22+Q23+Q24+Q25+Q26)</f>
        <v>52902.965251065936</v>
      </c>
      <c r="R27" s="5">
        <f t="shared" ref="R27:T27" ca="1" si="67">(R15+R16+R17+R18+R19+R20+R21+R22+R23+R24+R25+R26)</f>
        <v>0</v>
      </c>
      <c r="S27" s="5">
        <f t="shared" ca="1" si="67"/>
        <v>0</v>
      </c>
      <c r="T27" s="5">
        <f t="shared" ca="1" si="67"/>
        <v>0</v>
      </c>
      <c r="U27" s="65"/>
      <c r="V27" s="69"/>
      <c r="W27" s="72"/>
      <c r="X27" s="71"/>
      <c r="Y27" s="61"/>
      <c r="Z27" s="60"/>
      <c r="AA27" s="57"/>
      <c r="AB27" s="36" t="s">
        <v>14</v>
      </c>
      <c r="AC27" s="37" t="s">
        <v>94</v>
      </c>
      <c r="AE27" s="19" t="s">
        <v>0</v>
      </c>
      <c r="AF27" s="19" t="s">
        <v>0</v>
      </c>
      <c r="AG27" s="20">
        <f>($AG$22+$AG$23+$AG$24+$AG$25+$AG$26)</f>
        <v>64948.768174999997</v>
      </c>
      <c r="AH27" s="20">
        <f>($AH$22+$AH$23+$AH$24+$AH$25+$AH$26)</f>
        <v>64948.768174999997</v>
      </c>
      <c r="AI27" s="25" t="s">
        <v>0</v>
      </c>
      <c r="AJ27" s="25" t="s">
        <v>0</v>
      </c>
      <c r="AK27" s="21">
        <f>(AK15+AK16+AK17+AK18+AK19+AK20+AK21+AK22+AK23+AK24+AK25+AK26)</f>
        <v>0</v>
      </c>
      <c r="AL27" s="21">
        <f>(AL15+AL16+AL17+AL18+AL19+AL20+AL21+AL22+AL23+AL24+AL25+AL26)</f>
        <v>313</v>
      </c>
      <c r="AM27" s="21">
        <f>(AM15+AM16+AM17+AM18+AM19+AM20+AM21+AM22+AM23+AM24+AM25+AM26)</f>
        <v>-313</v>
      </c>
      <c r="AN27" s="20">
        <f t="shared" ref="AN27:AO27" si="68">(AN15+AN16+AN17+AN18+AN19+AN20+AN21+AN22+AN23+AN24+AN25+AN26)</f>
        <v>1202423.04</v>
      </c>
      <c r="AO27" s="20">
        <f t="shared" ca="1" si="68"/>
        <v>765185.58087109088</v>
      </c>
      <c r="AP27" s="25" t="s">
        <v>0</v>
      </c>
      <c r="AQ27" s="20">
        <f t="shared" ref="AQ27:AR27" si="69">(AQ15+AQ16+AQ17+AQ18+AQ19+AQ20+AQ21+AQ22+AQ23+AQ24+AQ25+AQ26)</f>
        <v>0</v>
      </c>
      <c r="AR27" s="20">
        <f t="shared" ca="1" si="69"/>
        <v>0</v>
      </c>
      <c r="AS27" s="20">
        <f t="shared" ref="AS27" si="70">(AS15+AS16+AS17+AS18+AS19+AS20+AS21+AS22+AS23+AS24+AS25+AS26)</f>
        <v>0</v>
      </c>
      <c r="AT27" s="20">
        <f t="shared" ref="AT27" si="71">(AT15+AT16+AT17+AT18+AT19+AT20+AT21+AT22+AT23+AT24+AT25+AT26)</f>
        <v>0</v>
      </c>
      <c r="AU27" s="20">
        <f t="shared" ref="AU27" si="72">(AU15+AU16+AU17+AU18+AU19+AU20+AU21+AU22+AU23+AU24+AU25+AU26)</f>
        <v>0</v>
      </c>
      <c r="AV27" s="39">
        <f>(AV15+AV16+AV17+AV18+AV19+AV20+AV21+AV22+AV23+AV24+AV25+AV26)</f>
        <v>0</v>
      </c>
      <c r="AW27" s="20">
        <f t="shared" ref="AW27:AX27" si="73">(AW15+AW16+AW17+AW18+AW19+AW20+AW21+AW22+AW23+AW24+AW25+AW26)</f>
        <v>0</v>
      </c>
      <c r="AX27" s="20">
        <f t="shared" ca="1" si="73"/>
        <v>0</v>
      </c>
      <c r="AY27" s="20">
        <f>(AY15+AY16+AY17+AY18+AY19+AY20+AY21+AY22+AY23+AY24+AY25+AY26)</f>
        <v>93600</v>
      </c>
      <c r="AZ27" s="20">
        <f ca="1">(AZ15+AZ16+AZ17+AZ18+AZ19+AZ20+AZ21+AZ22+AZ23+AZ24+AZ25+AZ26)</f>
        <v>86954.39999999998</v>
      </c>
      <c r="BA27" s="20">
        <f t="shared" ref="BA27" si="74">(BA15+BA16+BA17+BA18+BA19+BA20+BA21+BA22+BA23+BA24+BA25+BA26)</f>
        <v>93600</v>
      </c>
      <c r="BB27" s="20">
        <f t="shared" ref="BB27" si="75">(BB15+BB16+BB17+BB18+BB19+BB20+BB21+BB22+BB23+BB24+BB25+BB26)</f>
        <v>0</v>
      </c>
      <c r="BH27" s="19">
        <v>25</v>
      </c>
      <c r="BI27" s="23">
        <v>12.5</v>
      </c>
      <c r="BJ27" s="24">
        <v>0.27</v>
      </c>
    </row>
    <row r="28" spans="1:62" ht="39.950000000000003" customHeight="1" x14ac:dyDescent="0.25">
      <c r="A28" s="7">
        <f ca="1">(AX72)</f>
        <v>0.23867121746018102</v>
      </c>
      <c r="B28" s="17" t="s">
        <v>63</v>
      </c>
      <c r="C28" s="5">
        <f>(C27/12)</f>
        <v>100201.92</v>
      </c>
      <c r="D28" s="5">
        <f>(D27/12)</f>
        <v>6927.703333333332</v>
      </c>
      <c r="E28" s="16" t="s">
        <v>0</v>
      </c>
      <c r="F28" s="16" t="s">
        <v>0</v>
      </c>
      <c r="G28" s="6" t="s">
        <v>0</v>
      </c>
      <c r="H28" s="6" t="s">
        <v>0</v>
      </c>
      <c r="I28" s="6" t="s">
        <v>0</v>
      </c>
      <c r="J28" s="6" t="s">
        <v>0</v>
      </c>
      <c r="K28" s="13">
        <f ca="1">(K27/12)</f>
        <v>97444.932464981757</v>
      </c>
      <c r="L28" s="13">
        <f ca="1">(L27/12)</f>
        <v>7246.199999999998</v>
      </c>
      <c r="M28" s="14">
        <f ca="1">(M27/12)</f>
        <v>104691.13246498175</v>
      </c>
      <c r="N28" s="5">
        <f t="shared" ref="N28:P28" ca="1" si="76">(N27/12)</f>
        <v>63765.465072590909</v>
      </c>
      <c r="O28" s="5">
        <f t="shared" si="76"/>
        <v>3340.0640000000003</v>
      </c>
      <c r="P28" s="5">
        <f t="shared" ca="1" si="76"/>
        <v>2125.5155024196961</v>
      </c>
      <c r="Q28" s="5">
        <f t="shared" ref="Q28" ca="1" si="77">(Q27/12)</f>
        <v>4408.5804375888283</v>
      </c>
      <c r="R28" s="5">
        <f ca="1">(R27/12)</f>
        <v>0</v>
      </c>
      <c r="S28" s="5">
        <f ca="1">(S27/12)</f>
        <v>0</v>
      </c>
      <c r="T28" s="5">
        <f ca="1">(T27/12)</f>
        <v>0</v>
      </c>
      <c r="U28" s="65"/>
      <c r="V28" s="69"/>
      <c r="W28" s="72"/>
      <c r="X28" s="66"/>
      <c r="Y28" s="67"/>
      <c r="Z28" s="68"/>
      <c r="AA28" s="58"/>
      <c r="AB28" s="36" t="s">
        <v>32</v>
      </c>
      <c r="AC28" s="38" t="s">
        <v>37</v>
      </c>
      <c r="AI28" s="25" t="s">
        <v>0</v>
      </c>
      <c r="AJ28" s="25" t="s">
        <v>0</v>
      </c>
      <c r="AK28" s="25" t="s">
        <v>0</v>
      </c>
      <c r="AL28" s="25" t="s">
        <v>0</v>
      </c>
      <c r="AM28" s="25" t="s">
        <v>0</v>
      </c>
      <c r="AN28" s="20">
        <f t="shared" ref="AN28:AO28" si="78">(AN27/12)</f>
        <v>100201.92</v>
      </c>
      <c r="AO28" s="20">
        <f t="shared" ca="1" si="78"/>
        <v>63765.465072590909</v>
      </c>
      <c r="AP28" s="25" t="s">
        <v>0</v>
      </c>
      <c r="AQ28" s="20">
        <f t="shared" ref="AQ28:AR28" si="79">(AQ27/12)</f>
        <v>0</v>
      </c>
      <c r="AR28" s="20">
        <f t="shared" ca="1" si="79"/>
        <v>0</v>
      </c>
      <c r="AS28" s="20">
        <f t="shared" ref="AS28" si="80">(AS27/12)</f>
        <v>0</v>
      </c>
      <c r="AT28" s="20">
        <f t="shared" ref="AT28" si="81">(AT27/12)</f>
        <v>0</v>
      </c>
      <c r="AU28" s="20">
        <f t="shared" ref="AU28" si="82">(AU27/12)</f>
        <v>0</v>
      </c>
      <c r="AV28" s="25" t="s">
        <v>0</v>
      </c>
      <c r="AW28" s="20">
        <f t="shared" ref="AW28:AX28" si="83">(AW27/12)</f>
        <v>0</v>
      </c>
      <c r="AX28" s="20">
        <f t="shared" ca="1" si="83"/>
        <v>0</v>
      </c>
      <c r="AY28" s="20">
        <f>(AY27/12)</f>
        <v>7800</v>
      </c>
      <c r="AZ28" s="20">
        <f ca="1">(AZ27/12)</f>
        <v>7246.199999999998</v>
      </c>
      <c r="BA28" s="20">
        <f t="shared" ref="BA28" si="84">(BA27/12)</f>
        <v>7800</v>
      </c>
      <c r="BB28" s="20">
        <f t="shared" ref="BB28" si="85">(BB27/12)</f>
        <v>0</v>
      </c>
      <c r="BH28" s="19">
        <v>26</v>
      </c>
      <c r="BI28" s="23">
        <v>13</v>
      </c>
      <c r="BJ28" s="24">
        <v>0.28000000000000003</v>
      </c>
    </row>
    <row r="29" spans="1:62" ht="39.950000000000003" hidden="1" customHeight="1" x14ac:dyDescent="0.25">
      <c r="E29" s="16" t="s">
        <v>0</v>
      </c>
      <c r="AB29" s="36" t="s">
        <v>27</v>
      </c>
      <c r="AC29" s="37" t="s">
        <v>95</v>
      </c>
      <c r="AE29" s="40">
        <v>1.3878710000000001</v>
      </c>
      <c r="AF29" s="40">
        <v>1.3878710000000001</v>
      </c>
      <c r="AG29" s="19" t="s">
        <v>0</v>
      </c>
      <c r="AH29" s="34" t="s">
        <v>0</v>
      </c>
      <c r="AI29" s="34" t="s">
        <v>1</v>
      </c>
      <c r="AJ29" s="34" t="s">
        <v>1</v>
      </c>
      <c r="AK29" s="34" t="s">
        <v>1</v>
      </c>
      <c r="AL29" s="32">
        <f t="shared" ref="AL29:AL40" ca="1" si="86">COUNTIF(AI29,"Yok")*(0)
+COUNTIF(AI29,"Askerlik Yardımı")*($AF$40/BC59)
+COUNTIF(AI29,"Cenaze Yardımı (Anne-Baba)")*($AF$41+$AF$41*0.00759)
+COUNTIF(AI29,"Cenaze Yardımı (Eş-Çocuk)")*($AF$42+$AF$42*0.00759)
+COUNTIF(AI29,"Cenaze Yardımı (İşçi-İş Kazası Sonucu)")*($AF$43+$AF$43*0.00759)
+COUNTIF(AI29,"Cenaze Yardımı (İşçi-Tabii Sebepler Sonucu)")*($AF$44+$AF$44*0.00759)
+COUNTIF(AI29,"Doğal Afet Yardımı")*($AF$45+$AF$45*0.00759)
+COUNTIF(AI29,"Eğitim Yardımı (Çocuk-İlköğretim)")*($AF$46/BC59)
+COUNTIF(AI29,"Eğitim Yardımı (Çocuk-Ortaöğretim)")*($AF$47/BC59)
+COUNTIF(AI29,"Eğitim Yardımı (Çocuk-Lise)")*($AF$48/BC59)
+COUNTIF(AI29,"Eğitim Yardımı (Çocuk-Yükseköğretim)")*($AF$49/BC59)
+COUNTIF(AI29,"Eğitim Yardımı (İşçi-Lise)")*($AF$50/BC59)
+COUNTIF(AI29,"Eğitim Yardımı (İşçi-Yükseköğretim)")*($AF$51/BC59)
+COUNTIF(AI29,"Evlilik Yardımı")*($AF$52+$AF$52*0.00759)
+COUNTIF(AI29,"Gıda Yardımı")*($AF$53/BC59)
+COUNTIF(AI29,"İş Kazası veya Meslek Hastalığı Tazminatı")*($AF$54+$AF$54*0.00759)
+COUNTIF(AJ29,"Yok")*(0)
+COUNTIF(AJ29,"Askerlik Yardımı")*($AF$40/BC59)
+COUNTIF(AJ29,"Cenaze Yardımı (Anne-Baba)")*($AF$41+$AF$41*0.00759)
+COUNTIF(AJ29,"Cenaze Yardımı (Eş-Çocuk)")*($AF$42+$AF$42*0.00759)
+COUNTIF(AJ29,"Cenaze Yardımı (İşçi-İş Kazası Sonucu)")*($AF$43+$AF$43*0.00759)
+COUNTIF(AJ29,"Cenaze Yardımı (İşçi-Tabii Sebepler Sonucu)")*($AF$44+$AF$44*0.00759)
+COUNTIF(AJ29,"Doğal Afet Yardımı")*($AF$45+$AF$45*0.00759)
+COUNTIF(AJ29,"Eğitim Yardımı (Çocuk-İlköğretim)")*($AF$46/BC59)
+COUNTIF(AJ29,"Eğitim Yardımı (Çocuk-Ortaöğretim)")*($AF$47/BC59)
+COUNTIF(AJ29,"Eğitim Yardımı (Çocuk-Lise)")*($AF$48/BC59)
+COUNTIF(AJ29,"Eğitim Yardımı (Çocuk-Yükseköğretim)")*($AF$49/BC59)
+COUNTIF(AJ29,"Eğitim Yardımı (İşçi-Lise)")*($AF$50/BC59)
+COUNTIF(AJ29,"Eğitim Yardımı (İşçi-Yükseköğretim)")*($AF$51/BC59)
+COUNTIF(AJ29,"Evlilik Yardımı")*($AF$52+$AF$52*0.00759)
+COUNTIF(AJ29,"Gıda Yardımı")*($AF$53/BC59)
+COUNTIF(AJ29,"İş Kazası veya Meslek Hastalığı Tazminatı")*($AF$54+$AF$54*0.00759)
+COUNTIF(AK29,"Yok")*(0)
+COUNTIF(AK29,"Askerlik Yardımı")*($AF$40/BC59)
+COUNTIF(AK29,"Cenaze Yardımı (Anne-Baba)")*($AF$41+$AF$41*0.00759)
+COUNTIF(AK29,"Cenaze Yardımı (Eş-Çocuk)")*($AF$42+$AF$42*0.00759)
+COUNTIF(AK29,"Cenaze Yardımı (İşçi-İş Kazası Sonucu)")*($AF$43+$AF$43*0.00759)
+COUNTIF(AK29,"Cenaze Yardımı (İşçi-Tabii Sebepler Sonucu)")*($AF$44+$AF$44*0.00759)
+COUNTIF(AK29,"Doğal Afet Yardımı")*($AF$45+$AF$45*0.00759)
+COUNTIF(AK29,"Eğitim Yardımı (Çocuk-İlköğretim)")*($AF$46/BC59)
+COUNTIF(AK29,"Eğitim Yardımı (Çocuk-Ortaöğretim)")*($AF$47/BC59)
+COUNTIF(AK29,"Eğitim Yardımı (Çocuk-Lise)")*($AF$48/BC59)
+COUNTIF(AK29,"Eğitim Yardımı (Çocuk-Yükseköğretim)")*($AF$49/BC59)
+COUNTIF(AK29,"Eğitim Yardımı (İşçi-Lise)")*($AF$50/BC59)
+COUNTIF(AK29,"Eğitim Yardımı (İşçi-Yükseköğretim)")*($AF$51/BC59)
+COUNTIF(AK29,"Evlilik Yardımı")*($AF$52+$AF$52*0.00759)
+COUNTIF(AK29,"Gıda Yardımı")*($AF$53/BC59)
+COUNTIF(AK29,"İş Kazası veya Meslek Hastalığı Tazminatı")*($AF$54+$AF$54*0.00759)</f>
        <v>0</v>
      </c>
      <c r="AM29" s="32">
        <f t="shared" ref="AM29:AM40" si="87">COUNTIF(AI29,"Yok")*(0)
+COUNTIF(AI29,"Askerlik Yardımı")*(0)
+COUNTIF(AI29,"Cenaze Yardımı (Anne-Baba)")*($AF$41+$AF$41*0.00759)
+COUNTIF(AI29,"Cenaze Yardımı (Eş-Çocuk)")*($AF$42+$AF$42*0.00759)
+COUNTIF(AI29,"Cenaze Yardımı (İşçi-İş Kazası Sonucu)")*($AF$43+$AF$43*0.00759)
+COUNTIF(AI29,"Cenaze Yardımı (İşçi-Tabii Sebepler Sonucu)")*($AF$44+$AF$44*0.00759)
+COUNTIF(AI29,"Doğal Afet Yardımı")*($AF$45+$AF$45*0.00759)
+COUNTIF(AI29,"Eğitim Yardımı (Çocuk-İlköğretim)")*(0)
+COUNTIF(AI29,"Eğitim Yardımı (Çocuk-Ortaöğretim)")*(0)
+COUNTIF(AI29,"Eğitim Yardımı (Çocuk-Lise)")*(0)
+COUNTIF(AI29,"Eğitim Yardımı (Çocuk-Yükseköğretim)")*(0)
+COUNTIF(AI29,"Eğitim Yardımı (İşçi-Lise)")*(0)
+COUNTIF(AI29,"Eğitim Yardımı (İşçi-Yükseköğretim)")*(0)
+COUNTIF(AI29,"Evlilik Yardımı")*($AF$52+$AF$52*0.00759)
+COUNTIF(AI29,"Gıda Yardımı")*(0)
+COUNTIF(AI29,"İş Kazası veya Meslek Hastalığı Tazminatı")*($AF$54+$AF$54*0.00759)
+COUNTIF(AJ29,"Yok")*(0)
+COUNTIF(AJ29,"Askerlik Yardımı")*(0)
+COUNTIF(AJ29,"Cenaze Yardımı (Anne-Baba)")*($AF$41+$AF$41*0.00759)
+COUNTIF(AJ29,"Cenaze Yardımı (Eş-Çocuk)")*($AF$42+$AF$42*0.00759)
+COUNTIF(AJ29,"Cenaze Yardımı (İşçi-İş Kazası Sonucu)")*($AF$43+$AF$43*0.00759)
+COUNTIF(AJ29,"Cenaze Yardımı (İşçi-Tabii Sebepler Sonucu)")*($AF$44+$AF$44*0.00759)
+COUNTIF(AJ29,"Doğal Afet Yardımı")*($AF$45+$AF$45*0.00759)
+COUNTIF(AJ29,"Eğitim Yardımı (Çocuk-İlköğretim)")*(0)
+COUNTIF(AJ29,"Eğitim Yardımı (Çocuk-Ortaöğretim)")*(0)
+COUNTIF(AJ29,"Eğitim Yardımı (Çocuk-Lise)")*(0)
+COUNTIF(AJ29,"Eğitim Yardımı (Çocuk-Yükseköğretim)")*(0)
+COUNTIF(AJ29,"Eğitim Yardımı (İşçi-Lise)")*(0)
+COUNTIF(AJ29,"Eğitim Yardımı (İşçi-Yükseköğretim)")*(0)
+COUNTIF(AJ29,"Evlilik Yardımı")*($AF$52+$AF$52*0.00759)
+COUNTIF(AJ29,"Gıda Yardımı")*(0)
+COUNTIF(AJ29,"İş Kazası veya Meslek Hastalığı Tazminatı")*($AF$54+$AF$54*0.00759)
+COUNTIF(AK29,"Yok")*(0)
+COUNTIF(AK29,"Askerlik Yardımı")*(0)
+COUNTIF(AK29,"Cenaze Yardımı (Anne-Baba)")*($AF$41+$AF$41*0.00759)
+COUNTIF(AK29,"Cenaze Yardımı (Eş-Çocuk)")*($AF$42+$AF$42*0.00759)
+COUNTIF(AK29,"Cenaze Yardımı (İşçi-İş Kazası Sonucu)")*($AF$43+$AF$43*0.00759)
+COUNTIF(AK29,"Cenaze Yardımı (İşçi-Tabii Sebepler Sonucu)")*($AF$44+$AF$44*0.00759)
+COUNTIF(AK29,"Doğal Afet Yardımı")*($AF$45+$AF$45*0.00759)
+COUNTIF(AK29,"Eğitim Yardımı (Çocuk-İlköğretim)")*(0)
+COUNTIF(AK29,"Eğitim Yardımı (Çocuk-Ortaöğretim)")*(0)
+COUNTIF(AK29,"Eğitim Yardımı (Çocuk-Lise)")*(0)
+COUNTIF(AK29,"Eğitim Yardımı (Çocuk-Yükseköğretim)")*(0)
+COUNTIF(AK29,"Eğitim Yardımı (İşçi-Lise)")*(0)
+COUNTIF(AK29,"Eğitim Yardımı (İşçi-Yükseköğretim)")*(0)
+COUNTIF(AK29,"Evlilik Yardımı")*($AF$52+$AF$52*0.00759)
+COUNTIF(AK29,"Gıda Yardımı")*(0)
+COUNTIF(AK29,"İş Kazası veya Meslek Hastalığı Tazminatı")*($AF$54+$AF$54*0.00759)</f>
        <v>0</v>
      </c>
      <c r="AN29" s="32">
        <f t="shared" ref="AN29:AN40" si="88">COUNTIF(AI29,"Yok")*(0)
+COUNTIF(AI29,"Askerlik Yardımı")*($AF$40)
+COUNTIF(AI29,"Cenaze Yardımı (Anne-Baba)")*($AF$41)
+COUNTIF(AI29,"Cenaze Yardımı (Eş-Çocuk)")*($AF$42)
+COUNTIF(AI29,"Cenaze Yardımı (İşçi-İş Kazası Sonucu)")*($AF$43)
+COUNTIF(AI29,"Cenaze Yardımı (İşçi-Tabii Sebepler Sonucu)")*($AF$44)
+COUNTIF(AI29,"Doğal Afet Yardımı")*($AF$45)
+COUNTIF(AI29,"Eğitim Yardımı (Çocuk-İlköğretim)")*($AF$46)
+COUNTIF(AI29,"Eğitim Yardımı (Çocuk-Ortaöğretim)")*($AF$47)
+COUNTIF(AI29,"Eğitim Yardımı (Çocuk-Lise)")*($AF$48)
+COUNTIF(AI29,"Eğitim Yardımı (Çocuk-Yükseköğretim)")*($AF$49)
+COUNTIF(AI29,"Eğitim Yardımı (İşçi-Lise)")*($AF$50)
+COUNTIF(AI29,"Eğitim Yardımı (İşçi-Yükseköğretim)")*($AF$51)
+COUNTIF(AI29,"Evlilik Yardımı")*($AF$52)
+COUNTIF(AI29,"Gıda Yardımı")*($AF$53)
+COUNTIF(AI29,"İş Kazası veya Meslek Hastalığı Tazminatı")*($AF$54)
+COUNTIF(AJ29,"Yok")*(0)
+COUNTIF(AJ29,"Askerlik Yardımı")*($AF$40)
+COUNTIF(AJ29,"Cenaze Yardımı (Anne-Baba)")*($AF$41)
+COUNTIF(AJ29,"Cenaze Yardımı (Eş-Çocuk)")*($AF$42)
+COUNTIF(AJ29,"Cenaze Yardımı (İşçi-İş Kazası Sonucu)")*($AF$43)
+COUNTIF(AJ29,"Cenaze Yardımı (İşçi-Tabii Sebepler Sonucu)")*($AF$44)
+COUNTIF(AJ29,"Doğal Afet Yardımı")*($AF$45)
+COUNTIF(AJ29,"Eğitim Yardımı (Çocuk-İlköğretim)")*($AF$46)
+COUNTIF(AJ29,"Eğitim Yardımı (Çocuk-Ortaöğretim)")*($AF$47)
+COUNTIF(AJ29,"Eğitim Yardımı (Çocuk-Lise)")*($AF$48)
+COUNTIF(AJ29,"Eğitim Yardımı (Çocuk-Yükseköğretim)")*($AF$49)
+COUNTIF(AJ29,"Eğitim Yardımı (İşçi-Lise)")*($AF$50)
+COUNTIF(AJ29,"Eğitim Yardımı (İşçi-Yükseköğretim)")*($AF$51)
+COUNTIF(AJ29,"Evlilik Yardımı")*($AF$52)
+COUNTIF(AJ29,"Gıda Yardımı")*($AF$53)
+COUNTIF(AJ29,"İş Kazası veya Meslek Hastalığı Tazminatı")*($AF$54)
+COUNTIF(AK29,"Yok")*(0)
+COUNTIF(AK29,"Askerlik Yardımı")*($AF$40)
+COUNTIF(AK29,"Cenaze Yardımı (Anne-Baba)")*($AF$41)
+COUNTIF(AK29,"Cenaze Yardımı (Eş-Çocuk)")*($AF$42)
+COUNTIF(AK29,"Cenaze Yardımı (İşçi-İş Kazası Sonucu)")*($AF$43)
+COUNTIF(AK29,"Cenaze Yardımı (İşçi-Tabii Sebepler Sonucu)")*($AF$44)
+COUNTIF(AK29,"Doğal Afet Yardımı")*($AF$45)
+COUNTIF(AK29,"Eğitim Yardımı (Çocuk-İlköğretim)")*($AF$46)
+COUNTIF(AK29,"Eğitim Yardımı (Çocuk-Ortaöğretim)")*($AF$47)
+COUNTIF(AK29,"Eğitim Yardımı (Çocuk-Lise)")*($AF$48)
+COUNTIF(AK29,"Eğitim Yardımı (Çocuk-Yükseköğretim)")*($AF$49)
+COUNTIF(AK29,"Eğitim Yardımı (İşçi-Lise)")*($AF$50)
+COUNTIF(AK29,"Eğitim Yardımı (İşçi-Yükseköğretim)")*($AF$51)
+COUNTIF(AK29,"Evlilik Yardımı")*($AF$52)
+COUNTIF(AK29,"Gıda Yardımı")*($AF$53)
+COUNTIF(AK29,"İş Kazası veya Meslek Hastalığı Tazminatı")*($AF$54)</f>
        <v>0</v>
      </c>
      <c r="AO29" s="34" t="s">
        <v>1</v>
      </c>
      <c r="AP29" s="20">
        <f t="shared" ref="AP29:AP40" si="89">COUNTIF(AO29,"Var")*(O15*0.9*-1)</f>
        <v>0</v>
      </c>
      <c r="AQ29" s="20">
        <f>(AP29*-1)</f>
        <v>0</v>
      </c>
      <c r="AR29" s="20">
        <f t="shared" ref="AR29:AR40" si="90">(BA15)</f>
        <v>7800</v>
      </c>
      <c r="AS29" s="32">
        <f t="shared" ref="AS29:AS40" ca="1" si="91">(AO59*I15+AT29)*-1</f>
        <v>0</v>
      </c>
      <c r="AT29" s="32">
        <f t="shared" ref="AT29:AT40" si="92">(AS15+AT15+AU15+AW15+AY15-AL1)*(I15*-1)</f>
        <v>0</v>
      </c>
      <c r="AU29" s="32">
        <f ca="1">(AS29+AT29)</f>
        <v>0</v>
      </c>
      <c r="AV29" s="20">
        <f t="shared" ref="AV29:AV40" ca="1" si="93">(AI59)</f>
        <v>100253.95048341749</v>
      </c>
      <c r="AW29" s="20">
        <f ca="1">(AV29*0.205)</f>
        <v>20552.059849100584</v>
      </c>
      <c r="AX29" s="20">
        <f ca="1">(AV29*0.01)</f>
        <v>1002.5395048341749</v>
      </c>
      <c r="AY29" s="20">
        <f ca="1">(AV29*0.05*-1)</f>
        <v>-5012.6975241708751</v>
      </c>
      <c r="AZ29" s="20">
        <f ca="1">(AV29+AW29+AX29+AY29)</f>
        <v>116795.85231318137</v>
      </c>
      <c r="BH29" s="19">
        <v>27</v>
      </c>
      <c r="BI29" s="23">
        <v>13.5</v>
      </c>
      <c r="BJ29" s="24">
        <v>0.28999999999999998</v>
      </c>
    </row>
    <row r="30" spans="1:62" ht="39.950000000000003" hidden="1" customHeight="1" x14ac:dyDescent="0.25">
      <c r="AB30" s="36" t="s">
        <v>33</v>
      </c>
      <c r="AC30" s="38" t="s">
        <v>38</v>
      </c>
      <c r="AE30" s="40">
        <v>22.722792999999999</v>
      </c>
      <c r="AF30" s="40">
        <v>22.722792999999999</v>
      </c>
      <c r="AG30" s="19" t="s">
        <v>0</v>
      </c>
      <c r="AH30" s="34" t="s">
        <v>0</v>
      </c>
      <c r="AI30" s="34" t="s">
        <v>1</v>
      </c>
      <c r="AJ30" s="34" t="s">
        <v>1</v>
      </c>
      <c r="AK30" s="34" t="s">
        <v>1</v>
      </c>
      <c r="AL30" s="32">
        <f t="shared" ca="1" si="86"/>
        <v>0</v>
      </c>
      <c r="AM30" s="32">
        <f t="shared" si="87"/>
        <v>0</v>
      </c>
      <c r="AN30" s="32">
        <f t="shared" si="88"/>
        <v>0</v>
      </c>
      <c r="AO30" s="34" t="s">
        <v>1</v>
      </c>
      <c r="AP30" s="20">
        <f t="shared" si="89"/>
        <v>0</v>
      </c>
      <c r="AQ30" s="20">
        <f t="shared" ref="AQ30:AQ40" si="94">(AP30*-1)</f>
        <v>0</v>
      </c>
      <c r="AR30" s="20">
        <f t="shared" si="90"/>
        <v>7800</v>
      </c>
      <c r="AS30" s="32">
        <f t="shared" ca="1" si="91"/>
        <v>0</v>
      </c>
      <c r="AT30" s="32">
        <f t="shared" si="92"/>
        <v>0</v>
      </c>
      <c r="AU30" s="32">
        <f t="shared" ref="AU30:AU40" ca="1" si="95">(AS30+AT30)</f>
        <v>0</v>
      </c>
      <c r="AV30" s="20">
        <f t="shared" ca="1" si="93"/>
        <v>100638.61428725295</v>
      </c>
      <c r="AW30" s="20">
        <f t="shared" ref="AW30:AW40" ca="1" si="96">(AV30*0.205)</f>
        <v>20630.915928886854</v>
      </c>
      <c r="AX30" s="20">
        <f t="shared" ref="AX30:AX40" ca="1" si="97">(AV30*0.01)</f>
        <v>1006.3861428725295</v>
      </c>
      <c r="AY30" s="20">
        <f t="shared" ref="AY30:AY40" ca="1" si="98">(AV30*0.05*-1)</f>
        <v>-5031.9307143626474</v>
      </c>
      <c r="AZ30" s="20">
        <f t="shared" ref="AZ30:AZ40" ca="1" si="99">(AV30+AW30+AX30+AY30)</f>
        <v>117243.98564464969</v>
      </c>
      <c r="BH30" s="19">
        <v>28</v>
      </c>
      <c r="BI30" s="23">
        <v>14</v>
      </c>
      <c r="BJ30" s="24">
        <v>0.3</v>
      </c>
    </row>
    <row r="31" spans="1:62" ht="39.950000000000003" hidden="1" customHeight="1" x14ac:dyDescent="0.25">
      <c r="AB31" s="36" t="s">
        <v>12</v>
      </c>
      <c r="AC31" s="37" t="s">
        <v>96</v>
      </c>
      <c r="AE31" s="40">
        <v>0.44144099999999997</v>
      </c>
      <c r="AF31" s="40">
        <v>0.44144099999999997</v>
      </c>
      <c r="AG31" s="19" t="s">
        <v>0</v>
      </c>
      <c r="AH31" s="34" t="s">
        <v>0</v>
      </c>
      <c r="AI31" s="34" t="s">
        <v>1</v>
      </c>
      <c r="AJ31" s="34" t="s">
        <v>1</v>
      </c>
      <c r="AK31" s="34" t="s">
        <v>1</v>
      </c>
      <c r="AL31" s="32">
        <f t="shared" ca="1" si="86"/>
        <v>0</v>
      </c>
      <c r="AM31" s="32">
        <f t="shared" si="87"/>
        <v>0</v>
      </c>
      <c r="AN31" s="32">
        <f t="shared" si="88"/>
        <v>0</v>
      </c>
      <c r="AO31" s="34" t="s">
        <v>1</v>
      </c>
      <c r="AP31" s="20">
        <f t="shared" si="89"/>
        <v>0</v>
      </c>
      <c r="AQ31" s="20">
        <f t="shared" si="94"/>
        <v>0</v>
      </c>
      <c r="AR31" s="20">
        <f t="shared" si="90"/>
        <v>7800</v>
      </c>
      <c r="AS31" s="32">
        <f t="shared" ca="1" si="91"/>
        <v>0</v>
      </c>
      <c r="AT31" s="32">
        <f t="shared" si="92"/>
        <v>0</v>
      </c>
      <c r="AU31" s="32">
        <f t="shared" ca="1" si="95"/>
        <v>0</v>
      </c>
      <c r="AV31" s="20">
        <f t="shared" ca="1" si="93"/>
        <v>205058.11069808554</v>
      </c>
      <c r="AW31" s="20">
        <f t="shared" ca="1" si="96"/>
        <v>42036.91269310753</v>
      </c>
      <c r="AX31" s="20">
        <f t="shared" ca="1" si="97"/>
        <v>2050.5811069808556</v>
      </c>
      <c r="AY31" s="20">
        <f t="shared" ca="1" si="98"/>
        <v>-10252.905534904277</v>
      </c>
      <c r="AZ31" s="20">
        <f t="shared" ca="1" si="99"/>
        <v>238892.69896326965</v>
      </c>
      <c r="BH31" s="19">
        <v>29</v>
      </c>
      <c r="BI31" s="23">
        <v>14.5</v>
      </c>
      <c r="BJ31" s="24">
        <v>0.31</v>
      </c>
    </row>
    <row r="32" spans="1:62" ht="39.950000000000003" hidden="1" customHeight="1" x14ac:dyDescent="0.25">
      <c r="AB32" s="36" t="s">
        <v>26</v>
      </c>
      <c r="AC32" s="37" t="s">
        <v>97</v>
      </c>
      <c r="AI32" s="34" t="s">
        <v>1</v>
      </c>
      <c r="AJ32" s="34" t="s">
        <v>1</v>
      </c>
      <c r="AK32" s="34" t="s">
        <v>1</v>
      </c>
      <c r="AL32" s="32">
        <f t="shared" ca="1" si="86"/>
        <v>0</v>
      </c>
      <c r="AM32" s="32">
        <f t="shared" si="87"/>
        <v>0</v>
      </c>
      <c r="AN32" s="32">
        <f t="shared" si="88"/>
        <v>0</v>
      </c>
      <c r="AO32" s="34" t="s">
        <v>1</v>
      </c>
      <c r="AP32" s="20">
        <f t="shared" si="89"/>
        <v>0</v>
      </c>
      <c r="AQ32" s="20">
        <f t="shared" si="94"/>
        <v>0</v>
      </c>
      <c r="AR32" s="20">
        <f t="shared" si="90"/>
        <v>7800</v>
      </c>
      <c r="AS32" s="32">
        <f t="shared" ca="1" si="91"/>
        <v>0</v>
      </c>
      <c r="AT32" s="32">
        <f t="shared" si="92"/>
        <v>0</v>
      </c>
      <c r="AU32" s="32">
        <f t="shared" ca="1" si="95"/>
        <v>0</v>
      </c>
      <c r="AV32" s="20">
        <f t="shared" ca="1" si="93"/>
        <v>117351.41428437593</v>
      </c>
      <c r="AW32" s="20">
        <f t="shared" ca="1" si="96"/>
        <v>24057.039928297065</v>
      </c>
      <c r="AX32" s="20">
        <f t="shared" ca="1" si="97"/>
        <v>1173.5141428437594</v>
      </c>
      <c r="AY32" s="20">
        <f t="shared" ca="1" si="98"/>
        <v>-5867.5707142187966</v>
      </c>
      <c r="AZ32" s="20">
        <f t="shared" ca="1" si="99"/>
        <v>136714.39764129795</v>
      </c>
      <c r="BH32" s="19">
        <v>30</v>
      </c>
      <c r="BI32" s="23">
        <v>15</v>
      </c>
      <c r="BJ32" s="24">
        <v>0.32</v>
      </c>
    </row>
    <row r="33" spans="28:62" ht="39.950000000000003" hidden="1" customHeight="1" x14ac:dyDescent="0.25">
      <c r="AB33" s="41" t="s">
        <v>28</v>
      </c>
      <c r="AC33" s="38" t="s">
        <v>42</v>
      </c>
      <c r="AE33" s="25">
        <f>($AE$34*2)</f>
        <v>19000</v>
      </c>
      <c r="AF33" s="19" t="s">
        <v>0</v>
      </c>
      <c r="AG33" s="20">
        <f>($AE$29*$AE$33)</f>
        <v>26369.549000000003</v>
      </c>
      <c r="AH33" s="20">
        <f>($AF$29*$AE$33)</f>
        <v>26369.549000000003</v>
      </c>
      <c r="AI33" s="34" t="s">
        <v>1</v>
      </c>
      <c r="AJ33" s="34" t="s">
        <v>1</v>
      </c>
      <c r="AK33" s="34" t="s">
        <v>1</v>
      </c>
      <c r="AL33" s="32">
        <f t="shared" ca="1" si="86"/>
        <v>0</v>
      </c>
      <c r="AM33" s="32">
        <f t="shared" si="87"/>
        <v>0</v>
      </c>
      <c r="AN33" s="32">
        <f t="shared" si="88"/>
        <v>0</v>
      </c>
      <c r="AO33" s="34" t="s">
        <v>1</v>
      </c>
      <c r="AP33" s="20">
        <f t="shared" si="89"/>
        <v>0</v>
      </c>
      <c r="AQ33" s="20">
        <f t="shared" si="94"/>
        <v>0</v>
      </c>
      <c r="AR33" s="20">
        <f t="shared" si="90"/>
        <v>7800</v>
      </c>
      <c r="AS33" s="32">
        <f t="shared" ca="1" si="91"/>
        <v>0</v>
      </c>
      <c r="AT33" s="32">
        <f t="shared" si="92"/>
        <v>0</v>
      </c>
      <c r="AU33" s="32">
        <f t="shared" ca="1" si="95"/>
        <v>0</v>
      </c>
      <c r="AV33" s="20">
        <f t="shared" ca="1" si="93"/>
        <v>117740.81789544957</v>
      </c>
      <c r="AW33" s="20">
        <f t="shared" ca="1" si="96"/>
        <v>24136.86766856716</v>
      </c>
      <c r="AX33" s="20">
        <f t="shared" ca="1" si="97"/>
        <v>1177.4081789544957</v>
      </c>
      <c r="AY33" s="20">
        <f t="shared" ca="1" si="98"/>
        <v>-5887.0408947724791</v>
      </c>
      <c r="AZ33" s="20">
        <f t="shared" ca="1" si="99"/>
        <v>137168.05284819874</v>
      </c>
      <c r="BH33" s="19">
        <v>31</v>
      </c>
      <c r="BI33" s="23">
        <v>15.5</v>
      </c>
      <c r="BJ33" s="24">
        <v>0.33</v>
      </c>
    </row>
    <row r="34" spans="28:62" ht="39.950000000000003" hidden="1" customHeight="1" x14ac:dyDescent="0.25">
      <c r="AB34" s="36" t="s">
        <v>34</v>
      </c>
      <c r="AC34" s="37" t="s">
        <v>41</v>
      </c>
      <c r="AE34" s="25">
        <f>(9500)</f>
        <v>9500</v>
      </c>
      <c r="AF34" s="19" t="s">
        <v>0</v>
      </c>
      <c r="AG34" s="20">
        <f>($AE$29*$AE$34)</f>
        <v>13184.774500000001</v>
      </c>
      <c r="AH34" s="20">
        <f>($AF$29*$AE$34)</f>
        <v>13184.774500000001</v>
      </c>
      <c r="AI34" s="34" t="s">
        <v>1</v>
      </c>
      <c r="AJ34" s="34" t="s">
        <v>1</v>
      </c>
      <c r="AK34" s="34" t="s">
        <v>1</v>
      </c>
      <c r="AL34" s="32">
        <f t="shared" ca="1" si="86"/>
        <v>0</v>
      </c>
      <c r="AM34" s="32">
        <f t="shared" si="87"/>
        <v>0</v>
      </c>
      <c r="AN34" s="32">
        <f t="shared" si="88"/>
        <v>0</v>
      </c>
      <c r="AO34" s="34" t="s">
        <v>1</v>
      </c>
      <c r="AP34" s="20">
        <f t="shared" si="89"/>
        <v>0</v>
      </c>
      <c r="AQ34" s="20">
        <f t="shared" si="94"/>
        <v>0</v>
      </c>
      <c r="AR34" s="20">
        <f t="shared" si="90"/>
        <v>7800</v>
      </c>
      <c r="AS34" s="32">
        <f t="shared" ca="1" si="91"/>
        <v>0</v>
      </c>
      <c r="AT34" s="32">
        <f t="shared" si="92"/>
        <v>0</v>
      </c>
      <c r="AU34" s="32">
        <f t="shared" ca="1" si="95"/>
        <v>0</v>
      </c>
      <c r="AV34" s="20">
        <f t="shared" ca="1" si="93"/>
        <v>215539.21789544958</v>
      </c>
      <c r="AW34" s="20">
        <f t="shared" ca="1" si="96"/>
        <v>44185.539668567159</v>
      </c>
      <c r="AX34" s="20">
        <f t="shared" ca="1" si="97"/>
        <v>2155.3921789544956</v>
      </c>
      <c r="AY34" s="20">
        <f t="shared" ca="1" si="98"/>
        <v>-10776.960894772479</v>
      </c>
      <c r="AZ34" s="20">
        <f t="shared" ca="1" si="99"/>
        <v>251103.18884819874</v>
      </c>
      <c r="BH34" s="19">
        <v>32</v>
      </c>
      <c r="BI34" s="23">
        <v>16</v>
      </c>
      <c r="BJ34" s="24">
        <v>0.34</v>
      </c>
    </row>
    <row r="35" spans="28:62" ht="39.950000000000003" hidden="1" customHeight="1" x14ac:dyDescent="0.25">
      <c r="AI35" s="34" t="s">
        <v>1</v>
      </c>
      <c r="AJ35" s="34" t="s">
        <v>1</v>
      </c>
      <c r="AK35" s="34" t="s">
        <v>1</v>
      </c>
      <c r="AL35" s="32">
        <f t="shared" ca="1" si="86"/>
        <v>0</v>
      </c>
      <c r="AM35" s="32">
        <f t="shared" si="87"/>
        <v>0</v>
      </c>
      <c r="AN35" s="32">
        <f t="shared" si="88"/>
        <v>0</v>
      </c>
      <c r="AO35" s="34" t="s">
        <v>1</v>
      </c>
      <c r="AP35" s="20">
        <f t="shared" si="89"/>
        <v>0</v>
      </c>
      <c r="AQ35" s="20">
        <f t="shared" si="94"/>
        <v>0</v>
      </c>
      <c r="AR35" s="20">
        <f t="shared" si="90"/>
        <v>7800</v>
      </c>
      <c r="AS35" s="32">
        <f t="shared" ca="1" si="91"/>
        <v>0</v>
      </c>
      <c r="AT35" s="32">
        <f t="shared" si="92"/>
        <v>0</v>
      </c>
      <c r="AU35" s="32">
        <f t="shared" ca="1" si="95"/>
        <v>0</v>
      </c>
      <c r="AV35" s="20">
        <f t="shared" ca="1" si="93"/>
        <v>117740.81789544957</v>
      </c>
      <c r="AW35" s="20">
        <f t="shared" ca="1" si="96"/>
        <v>24136.86766856716</v>
      </c>
      <c r="AX35" s="20">
        <f t="shared" ca="1" si="97"/>
        <v>1177.4081789544957</v>
      </c>
      <c r="AY35" s="20">
        <f t="shared" ca="1" si="98"/>
        <v>-5887.0408947724791</v>
      </c>
      <c r="AZ35" s="20">
        <f t="shared" ca="1" si="99"/>
        <v>137168.05284819874</v>
      </c>
      <c r="BH35" s="19">
        <v>33</v>
      </c>
      <c r="BI35" s="23">
        <v>16.5</v>
      </c>
      <c r="BJ35" s="24">
        <v>0.35</v>
      </c>
    </row>
    <row r="36" spans="28:62" ht="39.950000000000003" hidden="1" customHeight="1" x14ac:dyDescent="0.25">
      <c r="AE36" s="20">
        <v>12000</v>
      </c>
      <c r="AF36" s="19" t="s">
        <v>0</v>
      </c>
      <c r="AG36" s="19" t="s">
        <v>0</v>
      </c>
      <c r="AH36" s="19" t="s">
        <v>0</v>
      </c>
      <c r="AI36" s="34" t="s">
        <v>1</v>
      </c>
      <c r="AJ36" s="34" t="s">
        <v>1</v>
      </c>
      <c r="AK36" s="34" t="s">
        <v>1</v>
      </c>
      <c r="AL36" s="32">
        <f t="shared" ca="1" si="86"/>
        <v>0</v>
      </c>
      <c r="AM36" s="32">
        <f t="shared" si="87"/>
        <v>0</v>
      </c>
      <c r="AN36" s="32">
        <f t="shared" si="88"/>
        <v>0</v>
      </c>
      <c r="AO36" s="34" t="s">
        <v>1</v>
      </c>
      <c r="AP36" s="20">
        <f t="shared" si="89"/>
        <v>0</v>
      </c>
      <c r="AQ36" s="20">
        <f t="shared" si="94"/>
        <v>0</v>
      </c>
      <c r="AR36" s="20">
        <f t="shared" si="90"/>
        <v>7800</v>
      </c>
      <c r="AS36" s="32">
        <f t="shared" ca="1" si="91"/>
        <v>0</v>
      </c>
      <c r="AT36" s="32">
        <f t="shared" si="92"/>
        <v>0</v>
      </c>
      <c r="AU36" s="32">
        <f t="shared" ca="1" si="95"/>
        <v>0</v>
      </c>
      <c r="AV36" s="20">
        <f t="shared" ca="1" si="93"/>
        <v>117740.81789544957</v>
      </c>
      <c r="AW36" s="20">
        <f t="shared" ca="1" si="96"/>
        <v>24136.86766856716</v>
      </c>
      <c r="AX36" s="20">
        <f t="shared" ca="1" si="97"/>
        <v>1177.4081789544957</v>
      </c>
      <c r="AY36" s="20">
        <f t="shared" ca="1" si="98"/>
        <v>-5887.0408947724791</v>
      </c>
      <c r="AZ36" s="20">
        <f t="shared" ca="1" si="99"/>
        <v>137168.05284819874</v>
      </c>
      <c r="BH36" s="19">
        <v>34</v>
      </c>
      <c r="BI36" s="23">
        <v>17</v>
      </c>
      <c r="BJ36" s="24">
        <v>0.36</v>
      </c>
    </row>
    <row r="37" spans="28:62" ht="39.950000000000003" hidden="1" customHeight="1" x14ac:dyDescent="0.25">
      <c r="AE37" s="20">
        <v>7000</v>
      </c>
      <c r="AF37" s="19" t="s">
        <v>0</v>
      </c>
      <c r="AG37" s="19" t="s">
        <v>0</v>
      </c>
      <c r="AH37" s="19" t="s">
        <v>0</v>
      </c>
      <c r="AI37" s="34" t="s">
        <v>1</v>
      </c>
      <c r="AJ37" s="34" t="s">
        <v>1</v>
      </c>
      <c r="AK37" s="34" t="s">
        <v>1</v>
      </c>
      <c r="AL37" s="32">
        <f t="shared" ca="1" si="86"/>
        <v>0</v>
      </c>
      <c r="AM37" s="32">
        <f t="shared" si="87"/>
        <v>0</v>
      </c>
      <c r="AN37" s="32">
        <f t="shared" si="88"/>
        <v>0</v>
      </c>
      <c r="AO37" s="34" t="s">
        <v>1</v>
      </c>
      <c r="AP37" s="20">
        <f t="shared" si="89"/>
        <v>0</v>
      </c>
      <c r="AQ37" s="20">
        <f t="shared" si="94"/>
        <v>0</v>
      </c>
      <c r="AR37" s="20">
        <f t="shared" si="90"/>
        <v>7800</v>
      </c>
      <c r="AS37" s="32">
        <f t="shared" ca="1" si="91"/>
        <v>0</v>
      </c>
      <c r="AT37" s="32">
        <f t="shared" si="92"/>
        <v>0</v>
      </c>
      <c r="AU37" s="32">
        <f t="shared" ca="1" si="95"/>
        <v>0</v>
      </c>
      <c r="AV37" s="20">
        <f t="shared" ca="1" si="93"/>
        <v>236113.12789544958</v>
      </c>
      <c r="AW37" s="20">
        <f t="shared" ca="1" si="96"/>
        <v>48403.191218567161</v>
      </c>
      <c r="AX37" s="20">
        <f t="shared" ca="1" si="97"/>
        <v>2361.1312789544959</v>
      </c>
      <c r="AY37" s="20">
        <f t="shared" ca="1" si="98"/>
        <v>-11805.656394772479</v>
      </c>
      <c r="AZ37" s="20">
        <f t="shared" ca="1" si="99"/>
        <v>275071.79399819876</v>
      </c>
      <c r="BH37" s="19">
        <v>35</v>
      </c>
      <c r="BI37" s="23">
        <v>17.5</v>
      </c>
      <c r="BJ37" s="24">
        <v>0.37</v>
      </c>
    </row>
    <row r="38" spans="28:62" ht="39.950000000000003" hidden="1" customHeight="1" x14ac:dyDescent="0.25">
      <c r="AE38" s="20">
        <v>3000</v>
      </c>
      <c r="AF38" s="19" t="s">
        <v>0</v>
      </c>
      <c r="AG38" s="19" t="s">
        <v>0</v>
      </c>
      <c r="AH38" s="19" t="s">
        <v>0</v>
      </c>
      <c r="AI38" s="34" t="s">
        <v>1</v>
      </c>
      <c r="AJ38" s="34" t="s">
        <v>1</v>
      </c>
      <c r="AK38" s="34" t="s">
        <v>1</v>
      </c>
      <c r="AL38" s="32">
        <f t="shared" ca="1" si="86"/>
        <v>0</v>
      </c>
      <c r="AM38" s="32">
        <f t="shared" si="87"/>
        <v>0</v>
      </c>
      <c r="AN38" s="32">
        <f t="shared" si="88"/>
        <v>0</v>
      </c>
      <c r="AO38" s="34" t="s">
        <v>1</v>
      </c>
      <c r="AP38" s="20">
        <f t="shared" si="89"/>
        <v>0</v>
      </c>
      <c r="AQ38" s="20">
        <f t="shared" si="94"/>
        <v>0</v>
      </c>
      <c r="AR38" s="20">
        <f t="shared" si="90"/>
        <v>7800</v>
      </c>
      <c r="AS38" s="32">
        <f t="shared" ca="1" si="91"/>
        <v>0</v>
      </c>
      <c r="AT38" s="32">
        <f t="shared" si="92"/>
        <v>0</v>
      </c>
      <c r="AU38" s="32">
        <f t="shared" ca="1" si="95"/>
        <v>0</v>
      </c>
      <c r="AV38" s="20">
        <f t="shared" ca="1" si="93"/>
        <v>133424.80789544957</v>
      </c>
      <c r="AW38" s="20">
        <f t="shared" ca="1" si="96"/>
        <v>27352.085618567162</v>
      </c>
      <c r="AX38" s="20">
        <f t="shared" ca="1" si="97"/>
        <v>1334.2480789544957</v>
      </c>
      <c r="AY38" s="20">
        <f t="shared" ca="1" si="98"/>
        <v>-6671.2403947724788</v>
      </c>
      <c r="AZ38" s="20">
        <f t="shared" ca="1" si="99"/>
        <v>155439.90119819876</v>
      </c>
      <c r="BH38" s="19">
        <v>36</v>
      </c>
      <c r="BI38" s="23">
        <v>18</v>
      </c>
      <c r="BJ38" s="24">
        <v>0.38</v>
      </c>
    </row>
    <row r="39" spans="28:62" ht="39.950000000000003" hidden="1" customHeight="1" x14ac:dyDescent="0.25">
      <c r="AE39" s="19" t="s">
        <v>1</v>
      </c>
      <c r="AF39" s="19" t="s">
        <v>60</v>
      </c>
      <c r="AI39" s="34" t="s">
        <v>1</v>
      </c>
      <c r="AJ39" s="34" t="s">
        <v>1</v>
      </c>
      <c r="AK39" s="34" t="s">
        <v>1</v>
      </c>
      <c r="AL39" s="32">
        <f t="shared" ca="1" si="86"/>
        <v>0</v>
      </c>
      <c r="AM39" s="32">
        <f t="shared" si="87"/>
        <v>0</v>
      </c>
      <c r="AN39" s="32">
        <f t="shared" si="88"/>
        <v>0</v>
      </c>
      <c r="AO39" s="34" t="s">
        <v>1</v>
      </c>
      <c r="AP39" s="20">
        <f t="shared" si="89"/>
        <v>0</v>
      </c>
      <c r="AQ39" s="20">
        <f t="shared" si="94"/>
        <v>0</v>
      </c>
      <c r="AR39" s="20">
        <f t="shared" si="90"/>
        <v>7800</v>
      </c>
      <c r="AS39" s="32">
        <f t="shared" ca="1" si="91"/>
        <v>0</v>
      </c>
      <c r="AT39" s="32">
        <f t="shared" si="92"/>
        <v>0</v>
      </c>
      <c r="AU39" s="32">
        <f t="shared" ca="1" si="95"/>
        <v>0</v>
      </c>
      <c r="AV39" s="20">
        <f t="shared" ca="1" si="93"/>
        <v>133424.80789544957</v>
      </c>
      <c r="AW39" s="20">
        <f t="shared" ca="1" si="96"/>
        <v>27352.085618567162</v>
      </c>
      <c r="AX39" s="20">
        <f t="shared" ca="1" si="97"/>
        <v>1334.2480789544957</v>
      </c>
      <c r="AY39" s="20">
        <f t="shared" ca="1" si="98"/>
        <v>-6671.2403947724788</v>
      </c>
      <c r="AZ39" s="20">
        <f t="shared" ca="1" si="99"/>
        <v>155439.90119819876</v>
      </c>
      <c r="BH39" s="19">
        <v>37</v>
      </c>
      <c r="BI39" s="23">
        <v>18.5</v>
      </c>
      <c r="BJ39" s="24">
        <v>0.39</v>
      </c>
    </row>
    <row r="40" spans="28:62" ht="39.950000000000003" hidden="1" customHeight="1" x14ac:dyDescent="0.25">
      <c r="AE40" s="34" t="s">
        <v>39</v>
      </c>
      <c r="AF40" s="32">
        <v>1900</v>
      </c>
      <c r="AI40" s="34" t="s">
        <v>1</v>
      </c>
      <c r="AJ40" s="34" t="s">
        <v>1</v>
      </c>
      <c r="AK40" s="34" t="s">
        <v>1</v>
      </c>
      <c r="AL40" s="32">
        <f t="shared" ca="1" si="86"/>
        <v>0</v>
      </c>
      <c r="AM40" s="32">
        <f t="shared" si="87"/>
        <v>0</v>
      </c>
      <c r="AN40" s="32">
        <f t="shared" si="88"/>
        <v>0</v>
      </c>
      <c r="AO40" s="34" t="s">
        <v>1</v>
      </c>
      <c r="AP40" s="20">
        <f t="shared" si="89"/>
        <v>0</v>
      </c>
      <c r="AQ40" s="20">
        <f t="shared" si="94"/>
        <v>0</v>
      </c>
      <c r="AR40" s="20">
        <f t="shared" si="90"/>
        <v>7800</v>
      </c>
      <c r="AS40" s="32">
        <f t="shared" ca="1" si="91"/>
        <v>0</v>
      </c>
      <c r="AT40" s="32">
        <f t="shared" si="92"/>
        <v>0</v>
      </c>
      <c r="AU40" s="32">
        <f t="shared" ca="1" si="95"/>
        <v>0</v>
      </c>
      <c r="AV40" s="20">
        <f t="shared" ca="1" si="93"/>
        <v>245892.9678954496</v>
      </c>
      <c r="AW40" s="20">
        <f t="shared" ca="1" si="96"/>
        <v>50408.058418567169</v>
      </c>
      <c r="AX40" s="20">
        <f t="shared" ca="1" si="97"/>
        <v>2458.929678954496</v>
      </c>
      <c r="AY40" s="20">
        <f t="shared" ca="1" si="98"/>
        <v>-12294.648394772481</v>
      </c>
      <c r="AZ40" s="20">
        <f t="shared" ca="1" si="99"/>
        <v>286465.30759819876</v>
      </c>
      <c r="BH40" s="19">
        <v>38</v>
      </c>
      <c r="BI40" s="23">
        <v>19</v>
      </c>
      <c r="BJ40" s="24">
        <v>0.4</v>
      </c>
    </row>
    <row r="41" spans="28:62" ht="39.950000000000003" hidden="1" customHeight="1" x14ac:dyDescent="0.25">
      <c r="AE41" s="34" t="s">
        <v>46</v>
      </c>
      <c r="AF41" s="32">
        <v>4360</v>
      </c>
      <c r="AI41" s="25" t="s">
        <v>0</v>
      </c>
      <c r="AJ41" s="25" t="s">
        <v>0</v>
      </c>
      <c r="AK41" s="25" t="s">
        <v>0</v>
      </c>
      <c r="AL41" s="20">
        <f t="shared" ref="AL41" ca="1" si="100">(AL29+AL30+AL31+AL32+AL33+AL34+AL35+AL36+AL37+AL38+AL39+AL40)</f>
        <v>0</v>
      </c>
      <c r="AM41" s="20">
        <f t="shared" ref="AM41" si="101">(AM29+AM30+AM31+AM32+AM33+AM34+AM35+AM36+AM37+AM38+AM39+AM40)</f>
        <v>0</v>
      </c>
      <c r="AN41" s="20">
        <f t="shared" ref="AN41" si="102">(AN29+AN30+AN31+AN32+AN33+AN34+AN35+AN36+AN37+AN38+AN39+AN40)</f>
        <v>0</v>
      </c>
      <c r="AO41" s="25" t="s">
        <v>0</v>
      </c>
      <c r="AP41" s="20">
        <f t="shared" ref="AP41:AQ41" si="103">(AP29+AP30+AP31+AP32+AP33+AP34+AP35+AP36+AP37+AP38+AP39+AP40)</f>
        <v>0</v>
      </c>
      <c r="AQ41" s="20">
        <f t="shared" si="103"/>
        <v>0</v>
      </c>
      <c r="AR41" s="20">
        <f t="shared" ref="AR41" si="104">(AR29+AR30+AR31+AR32+AR33+AR34+AR35+AR36+AR37+AR38+AR39+AR40)</f>
        <v>93600</v>
      </c>
      <c r="AS41" s="20">
        <f t="shared" ref="AS41:AU41" ca="1" si="105">(AS29+AS30+AS31+AS32+AS33+AS34+AS35+AS36+AS37+AS38+AS39+AS40)</f>
        <v>0</v>
      </c>
      <c r="AT41" s="20">
        <f t="shared" si="105"/>
        <v>0</v>
      </c>
      <c r="AU41" s="20">
        <f t="shared" ca="1" si="105"/>
        <v>0</v>
      </c>
      <c r="AV41" s="20">
        <f t="shared" ref="AV41" ca="1" si="106">(AV29+AV30+AV31+AV32+AV33+AV34+AV35+AV36+AV37+AV38+AV39+AV40)</f>
        <v>1840919.4729167284</v>
      </c>
      <c r="AW41" s="20">
        <f t="shared" ref="AW41" ca="1" si="107">(AW29+AW30+AW31+AW32+AW33+AW34+AW35+AW36+AW37+AW38+AW39+AW40)</f>
        <v>377388.49194792937</v>
      </c>
      <c r="AX41" s="20">
        <f t="shared" ref="AX41" ca="1" si="108">(AX29+AX30+AX31+AX32+AX33+AX34+AX35+AX36+AX37+AX38+AX39+AX40)</f>
        <v>18409.194729167284</v>
      </c>
      <c r="AY41" s="20">
        <f t="shared" ref="AY41" ca="1" si="109">(AY29+AY30+AY31+AY32+AY33+AY34+AY35+AY36+AY37+AY38+AY39+AY40)</f>
        <v>-92045.97364583642</v>
      </c>
      <c r="AZ41" s="20">
        <f t="shared" ref="AZ41" ca="1" si="110">(AZ29+AZ30+AZ31+AZ32+AZ33+AZ34+AZ35+AZ36+AZ37+AZ38+AZ39+AZ40)</f>
        <v>2144671.1859479886</v>
      </c>
      <c r="BH41" s="19">
        <v>39</v>
      </c>
      <c r="BI41" s="23">
        <v>19.5</v>
      </c>
      <c r="BJ41" s="24">
        <v>0.41</v>
      </c>
    </row>
    <row r="42" spans="28:62" ht="39.950000000000003" hidden="1" customHeight="1" x14ac:dyDescent="0.25">
      <c r="AE42" s="34" t="s">
        <v>47</v>
      </c>
      <c r="AF42" s="32">
        <v>4360</v>
      </c>
      <c r="AI42" s="25" t="s">
        <v>0</v>
      </c>
      <c r="AJ42" s="25" t="s">
        <v>0</v>
      </c>
      <c r="AK42" s="25" t="s">
        <v>0</v>
      </c>
      <c r="AL42" s="20">
        <f t="shared" ref="AL42" ca="1" si="111">AL41/12</f>
        <v>0</v>
      </c>
      <c r="AM42" s="20">
        <f t="shared" ref="AM42" si="112">AM41/12</f>
        <v>0</v>
      </c>
      <c r="AN42" s="20">
        <f t="shared" ref="AN42" si="113">AN41/12</f>
        <v>0</v>
      </c>
      <c r="AO42" s="25" t="s">
        <v>0</v>
      </c>
      <c r="AP42" s="20">
        <f t="shared" ref="AP42:AQ42" si="114">(AP41/12)</f>
        <v>0</v>
      </c>
      <c r="AQ42" s="20">
        <f t="shared" si="114"/>
        <v>0</v>
      </c>
      <c r="AR42" s="20">
        <f t="shared" ref="AR42" si="115">(AR41/12)</f>
        <v>7800</v>
      </c>
      <c r="AS42" s="20">
        <f t="shared" ref="AS42:AU42" ca="1" si="116">(AS41/12)</f>
        <v>0</v>
      </c>
      <c r="AT42" s="20">
        <f t="shared" si="116"/>
        <v>0</v>
      </c>
      <c r="AU42" s="20">
        <f t="shared" ca="1" si="116"/>
        <v>0</v>
      </c>
      <c r="AV42" s="20">
        <f t="shared" ref="AV42" ca="1" si="117">(AV41/12)</f>
        <v>153409.95607639404</v>
      </c>
      <c r="AW42" s="20">
        <f t="shared" ref="AW42" ca="1" si="118">(AW41/12)</f>
        <v>31449.04099566078</v>
      </c>
      <c r="AX42" s="20">
        <f t="shared" ref="AX42" ca="1" si="119">(AX41/12)</f>
        <v>1534.0995607639404</v>
      </c>
      <c r="AY42" s="20">
        <f t="shared" ref="AY42" ca="1" si="120">(AY41/12)</f>
        <v>-7670.4978038197014</v>
      </c>
      <c r="AZ42" s="20">
        <f t="shared" ref="AZ42" ca="1" si="121">(AZ41/12)</f>
        <v>178722.59882899906</v>
      </c>
      <c r="BH42" s="19">
        <v>40</v>
      </c>
      <c r="BI42" s="23">
        <v>20</v>
      </c>
      <c r="BJ42" s="24">
        <v>0.42</v>
      </c>
    </row>
    <row r="43" spans="28:62" ht="39.950000000000003" hidden="1" customHeight="1" x14ac:dyDescent="0.25">
      <c r="AE43" s="34" t="s">
        <v>48</v>
      </c>
      <c r="AF43" s="32">
        <v>20000</v>
      </c>
      <c r="AZ43" s="20">
        <f>(0)</f>
        <v>0</v>
      </c>
      <c r="BA43" s="42">
        <f>(0%)</f>
        <v>0</v>
      </c>
      <c r="BH43" s="19">
        <v>41</v>
      </c>
      <c r="BI43" s="23">
        <v>20.5</v>
      </c>
      <c r="BJ43" s="24">
        <v>0.43</v>
      </c>
    </row>
    <row r="44" spans="28:62" ht="39.950000000000003" hidden="1" customHeight="1" x14ac:dyDescent="0.25">
      <c r="AE44" s="34" t="s">
        <v>49</v>
      </c>
      <c r="AF44" s="32">
        <v>20000</v>
      </c>
      <c r="AI44" s="20">
        <f t="shared" ref="AI44:AI49" si="122">($AG$8)</f>
        <v>33030</v>
      </c>
      <c r="AJ44" s="20">
        <f>(AI44)</f>
        <v>33030</v>
      </c>
      <c r="AK44" s="20">
        <f>(AI44-AJ44)</f>
        <v>0</v>
      </c>
      <c r="AL44" s="20">
        <f t="shared" ref="AL44:AL55" si="123">(AK44*0.00759*-1)</f>
        <v>0</v>
      </c>
      <c r="AM44" s="20">
        <f>(AI44*0.00759)</f>
        <v>250.69770000000003</v>
      </c>
      <c r="AN44" s="20">
        <f t="shared" ref="AN44:AN55" si="124">(AI44)</f>
        <v>33030</v>
      </c>
      <c r="AO44" s="20">
        <f>(0)</f>
        <v>0</v>
      </c>
      <c r="AP44" s="20">
        <f>(AN44-AO44)</f>
        <v>33030</v>
      </c>
      <c r="AQ44" s="20">
        <f>(AP44*0.14*-1)</f>
        <v>-4624.2000000000007</v>
      </c>
      <c r="AR44" s="20">
        <f>(AP44*0.01*-1)</f>
        <v>-330.3</v>
      </c>
      <c r="AS44" s="43">
        <v>0.15</v>
      </c>
      <c r="AT44" s="20">
        <v>0</v>
      </c>
      <c r="AU44" s="20">
        <v>190000</v>
      </c>
      <c r="AV44" s="20">
        <v>0</v>
      </c>
      <c r="AW44" s="20">
        <f t="shared" ref="AW44:AW55" si="125">(AI44+AQ44+AR44)</f>
        <v>28075.5</v>
      </c>
      <c r="AX44" s="20">
        <f>(0)</f>
        <v>0</v>
      </c>
      <c r="AY44" s="20">
        <f>(AW44-AX44)</f>
        <v>28075.5</v>
      </c>
      <c r="AZ44" s="20">
        <f>SUM(AY$44:$AY44)</f>
        <v>28075.5</v>
      </c>
      <c r="BA44" s="42">
        <f t="shared" ref="BA44:BA55" si="126">IF(AZ44&lt;=$AU$44,$AS$44,
IF(AZ44&gt;$AU$46,
IF(AZ44&gt;$AU$47,$AS$48,$AS$47),
IF(AZ44&lt;$AU$45,$AS$45,$AS$46)))</f>
        <v>0.15</v>
      </c>
      <c r="BB44" s="34">
        <f>IF(BA44-BA43=0,0,1)</f>
        <v>1</v>
      </c>
      <c r="BC44" s="44">
        <f t="shared" ref="BC44:BC55" si="127">IF(BB44=0,BA44,(VLOOKUP($BA44,$AS$44:$AV$48,2,0)-AZ43)/AY44*BA43+(AZ44-VLOOKUP($BA44,$AS$44:$AV$48,2,0))/AY44*BA44)</f>
        <v>0.15</v>
      </c>
      <c r="BD44" s="20">
        <f>(ROUND(AY44*BC44,2)+VLOOKUP(BA44,$AS$44:$AV$48,4,0))</f>
        <v>4211.33</v>
      </c>
      <c r="BE44" s="44">
        <f>(100+(100*0.00759*-1)+(100*0.01*-1)+(100*0.01*-1)+(100+100*0.14*-1+100*0.01*-1)*BC44*-1)/100</f>
        <v>0.84491000000000005</v>
      </c>
      <c r="BF44" s="20">
        <f t="shared" ref="BF44:BF55" si="128">AI44</f>
        <v>33030</v>
      </c>
      <c r="BG44" s="20">
        <f t="shared" ref="BG44:BG55" si="129">AI44+AL44+AQ44+AR44</f>
        <v>28075.5</v>
      </c>
      <c r="BH44" s="19">
        <v>42</v>
      </c>
      <c r="BI44" s="23">
        <v>21</v>
      </c>
      <c r="BJ44" s="24">
        <v>0.44</v>
      </c>
    </row>
    <row r="45" spans="28:62" ht="39.950000000000003" hidden="1" customHeight="1" x14ac:dyDescent="0.25">
      <c r="AE45" s="34" t="s">
        <v>2</v>
      </c>
      <c r="AF45" s="32">
        <v>12000</v>
      </c>
      <c r="AI45" s="20">
        <f t="shared" si="122"/>
        <v>33030</v>
      </c>
      <c r="AJ45" s="20">
        <f t="shared" ref="AJ45:AJ55" si="130">(AI45)</f>
        <v>33030</v>
      </c>
      <c r="AK45" s="20">
        <f t="shared" ref="AK45:AK55" si="131">(AI45-AJ45)</f>
        <v>0</v>
      </c>
      <c r="AL45" s="20">
        <f t="shared" si="123"/>
        <v>0</v>
      </c>
      <c r="AM45" s="20">
        <f t="shared" ref="AM45:AM55" si="132">(AI45*0.00759)</f>
        <v>250.69770000000003</v>
      </c>
      <c r="AN45" s="20">
        <f t="shared" si="124"/>
        <v>33030</v>
      </c>
      <c r="AO45" s="20">
        <f>(0)</f>
        <v>0</v>
      </c>
      <c r="AP45" s="20">
        <f t="shared" ref="AP45:AP55" si="133">(AN45-AO45)</f>
        <v>33030</v>
      </c>
      <c r="AQ45" s="20">
        <f t="shared" ref="AQ45:AQ55" si="134">(AP45*0.14*-1)</f>
        <v>-4624.2000000000007</v>
      </c>
      <c r="AR45" s="20">
        <f t="shared" ref="AR45:AR55" si="135">(AP45*0.01*-1)</f>
        <v>-330.3</v>
      </c>
      <c r="AS45" s="43">
        <v>0.2</v>
      </c>
      <c r="AT45" s="20">
        <f>$AU$44</f>
        <v>190000</v>
      </c>
      <c r="AU45" s="20">
        <v>400000</v>
      </c>
      <c r="AV45" s="20">
        <f>(AU44-AT44)*AS44+AV44</f>
        <v>28500</v>
      </c>
      <c r="AW45" s="20">
        <f t="shared" si="125"/>
        <v>28075.5</v>
      </c>
      <c r="AX45" s="20">
        <f>(0)</f>
        <v>0</v>
      </c>
      <c r="AY45" s="20">
        <f t="shared" ref="AY45:AY55" si="136">(AW45-AX45)</f>
        <v>28075.5</v>
      </c>
      <c r="AZ45" s="20">
        <f>SUM(AY$44:$AY45)</f>
        <v>56151</v>
      </c>
      <c r="BA45" s="42">
        <f t="shared" si="126"/>
        <v>0.15</v>
      </c>
      <c r="BB45" s="34">
        <f t="shared" ref="BB45:BB55" si="137">IF(BA45-BA44=0,0,1)</f>
        <v>0</v>
      </c>
      <c r="BC45" s="44">
        <f t="shared" si="127"/>
        <v>0.15</v>
      </c>
      <c r="BD45" s="20">
        <f>(ROUND(AY45*BC45,2))</f>
        <v>4211.33</v>
      </c>
      <c r="BE45" s="44">
        <f t="shared" ref="BE45:BE55" si="138">(100+(100*0.00759*-1)+(100*0.01*-1)+(100*0.01*-1)+(100+100*0.14*-1+100*0.01*-1)*BC45*-1)/100</f>
        <v>0.84491000000000005</v>
      </c>
      <c r="BF45" s="20">
        <f t="shared" si="128"/>
        <v>33030</v>
      </c>
      <c r="BG45" s="20">
        <f t="shared" si="129"/>
        <v>28075.5</v>
      </c>
      <c r="BH45" s="19">
        <v>43</v>
      </c>
      <c r="BI45" s="23">
        <v>21.5</v>
      </c>
      <c r="BJ45" s="24">
        <v>0.45</v>
      </c>
    </row>
    <row r="46" spans="28:62" ht="39.950000000000003" hidden="1" customHeight="1" x14ac:dyDescent="0.25">
      <c r="AE46" s="34" t="s">
        <v>52</v>
      </c>
      <c r="AF46" s="32">
        <v>2892</v>
      </c>
      <c r="AI46" s="20">
        <f t="shared" si="122"/>
        <v>33030</v>
      </c>
      <c r="AJ46" s="20">
        <f t="shared" si="130"/>
        <v>33030</v>
      </c>
      <c r="AK46" s="20">
        <f t="shared" si="131"/>
        <v>0</v>
      </c>
      <c r="AL46" s="20">
        <f t="shared" si="123"/>
        <v>0</v>
      </c>
      <c r="AM46" s="20">
        <f t="shared" si="132"/>
        <v>250.69770000000003</v>
      </c>
      <c r="AN46" s="20">
        <f t="shared" si="124"/>
        <v>33030</v>
      </c>
      <c r="AO46" s="20">
        <f>(0)</f>
        <v>0</v>
      </c>
      <c r="AP46" s="20">
        <f t="shared" si="133"/>
        <v>33030</v>
      </c>
      <c r="AQ46" s="20">
        <f t="shared" si="134"/>
        <v>-4624.2000000000007</v>
      </c>
      <c r="AR46" s="20">
        <f t="shared" si="135"/>
        <v>-330.3</v>
      </c>
      <c r="AS46" s="43">
        <v>0.27</v>
      </c>
      <c r="AT46" s="20">
        <f>$AU$45</f>
        <v>400000</v>
      </c>
      <c r="AU46" s="20">
        <v>1500000</v>
      </c>
      <c r="AV46" s="20">
        <f>(AU45-AT45)*AS45+AV45</f>
        <v>70500</v>
      </c>
      <c r="AW46" s="20">
        <f t="shared" si="125"/>
        <v>28075.5</v>
      </c>
      <c r="AX46" s="20">
        <f>(0)</f>
        <v>0</v>
      </c>
      <c r="AY46" s="20">
        <f t="shared" si="136"/>
        <v>28075.5</v>
      </c>
      <c r="AZ46" s="20">
        <f>SUM(AY$44:$AY46)</f>
        <v>84226.5</v>
      </c>
      <c r="BA46" s="42">
        <f t="shared" si="126"/>
        <v>0.15</v>
      </c>
      <c r="BB46" s="34">
        <f t="shared" si="137"/>
        <v>0</v>
      </c>
      <c r="BC46" s="44">
        <f t="shared" si="127"/>
        <v>0.15</v>
      </c>
      <c r="BD46" s="20">
        <f t="shared" ref="BD46:BD55" si="139">(ROUND(AY46*BC46,2))</f>
        <v>4211.33</v>
      </c>
      <c r="BE46" s="44">
        <f t="shared" si="138"/>
        <v>0.84491000000000005</v>
      </c>
      <c r="BF46" s="20">
        <f t="shared" si="128"/>
        <v>33030</v>
      </c>
      <c r="BG46" s="20">
        <f t="shared" si="129"/>
        <v>28075.5</v>
      </c>
      <c r="BH46" s="19">
        <v>44</v>
      </c>
      <c r="BI46" s="23">
        <v>22</v>
      </c>
      <c r="BJ46" s="24">
        <v>0.46</v>
      </c>
    </row>
    <row r="47" spans="28:62" ht="39.950000000000003" hidden="1" customHeight="1" x14ac:dyDescent="0.25">
      <c r="AE47" s="34" t="s">
        <v>53</v>
      </c>
      <c r="AF47" s="32">
        <v>2892</v>
      </c>
      <c r="AI47" s="20">
        <f t="shared" si="122"/>
        <v>33030</v>
      </c>
      <c r="AJ47" s="20">
        <f t="shared" si="130"/>
        <v>33030</v>
      </c>
      <c r="AK47" s="20">
        <f t="shared" si="131"/>
        <v>0</v>
      </c>
      <c r="AL47" s="20">
        <f t="shared" si="123"/>
        <v>0</v>
      </c>
      <c r="AM47" s="20">
        <f t="shared" si="132"/>
        <v>250.69770000000003</v>
      </c>
      <c r="AN47" s="20">
        <f t="shared" si="124"/>
        <v>33030</v>
      </c>
      <c r="AO47" s="20">
        <f>(0)</f>
        <v>0</v>
      </c>
      <c r="AP47" s="20">
        <f t="shared" si="133"/>
        <v>33030</v>
      </c>
      <c r="AQ47" s="20">
        <f t="shared" si="134"/>
        <v>-4624.2000000000007</v>
      </c>
      <c r="AR47" s="20">
        <f t="shared" si="135"/>
        <v>-330.3</v>
      </c>
      <c r="AS47" s="43">
        <v>0.35</v>
      </c>
      <c r="AT47" s="20">
        <f>$AU$46</f>
        <v>1500000</v>
      </c>
      <c r="AU47" s="20">
        <v>5300000</v>
      </c>
      <c r="AV47" s="20">
        <f>(AU46-AT46)*AS46+AV46</f>
        <v>367500</v>
      </c>
      <c r="AW47" s="20">
        <f t="shared" si="125"/>
        <v>28075.5</v>
      </c>
      <c r="AX47" s="20">
        <f>(0)</f>
        <v>0</v>
      </c>
      <c r="AY47" s="20">
        <f t="shared" si="136"/>
        <v>28075.5</v>
      </c>
      <c r="AZ47" s="20">
        <f>SUM(AY$44:$AY47)</f>
        <v>112302</v>
      </c>
      <c r="BA47" s="42">
        <f t="shared" si="126"/>
        <v>0.15</v>
      </c>
      <c r="BB47" s="34">
        <f t="shared" si="137"/>
        <v>0</v>
      </c>
      <c r="BC47" s="44">
        <f t="shared" si="127"/>
        <v>0.15</v>
      </c>
      <c r="BD47" s="20">
        <f t="shared" si="139"/>
        <v>4211.33</v>
      </c>
      <c r="BE47" s="44">
        <f t="shared" si="138"/>
        <v>0.84491000000000005</v>
      </c>
      <c r="BF47" s="20">
        <f t="shared" si="128"/>
        <v>33030</v>
      </c>
      <c r="BG47" s="20">
        <f t="shared" si="129"/>
        <v>28075.5</v>
      </c>
      <c r="BH47" s="19">
        <v>45</v>
      </c>
      <c r="BI47" s="23">
        <v>22.5</v>
      </c>
      <c r="BJ47" s="24">
        <v>0.47</v>
      </c>
    </row>
    <row r="48" spans="28:62" ht="39.950000000000003" hidden="1" customHeight="1" x14ac:dyDescent="0.25">
      <c r="AE48" s="34" t="s">
        <v>54</v>
      </c>
      <c r="AF48" s="32">
        <v>3623</v>
      </c>
      <c r="AI48" s="20">
        <f t="shared" si="122"/>
        <v>33030</v>
      </c>
      <c r="AJ48" s="20">
        <f t="shared" si="130"/>
        <v>33030</v>
      </c>
      <c r="AK48" s="20">
        <f t="shared" si="131"/>
        <v>0</v>
      </c>
      <c r="AL48" s="20">
        <f t="shared" si="123"/>
        <v>0</v>
      </c>
      <c r="AM48" s="20">
        <f t="shared" si="132"/>
        <v>250.69770000000003</v>
      </c>
      <c r="AN48" s="20">
        <f t="shared" si="124"/>
        <v>33030</v>
      </c>
      <c r="AO48" s="20">
        <f>(0)</f>
        <v>0</v>
      </c>
      <c r="AP48" s="20">
        <f t="shared" si="133"/>
        <v>33030</v>
      </c>
      <c r="AQ48" s="20">
        <f t="shared" si="134"/>
        <v>-4624.2000000000007</v>
      </c>
      <c r="AR48" s="20">
        <f t="shared" si="135"/>
        <v>-330.3</v>
      </c>
      <c r="AS48" s="43">
        <v>0.4</v>
      </c>
      <c r="AT48" s="45">
        <f>$AU$47</f>
        <v>5300000</v>
      </c>
      <c r="AU48" s="20">
        <v>999999999</v>
      </c>
      <c r="AV48" s="20">
        <f>(AU47-AT47)*AS47+AV47</f>
        <v>1697500</v>
      </c>
      <c r="AW48" s="20">
        <f t="shared" si="125"/>
        <v>28075.5</v>
      </c>
      <c r="AX48" s="20">
        <f>(0)</f>
        <v>0</v>
      </c>
      <c r="AY48" s="20">
        <f t="shared" si="136"/>
        <v>28075.5</v>
      </c>
      <c r="AZ48" s="20">
        <f>SUM(AY$44:$AY48)</f>
        <v>140377.5</v>
      </c>
      <c r="BA48" s="42">
        <f t="shared" si="126"/>
        <v>0.15</v>
      </c>
      <c r="BB48" s="34">
        <f t="shared" si="137"/>
        <v>0</v>
      </c>
      <c r="BC48" s="44">
        <f t="shared" si="127"/>
        <v>0.15</v>
      </c>
      <c r="BD48" s="20">
        <f t="shared" si="139"/>
        <v>4211.33</v>
      </c>
      <c r="BE48" s="44">
        <f t="shared" si="138"/>
        <v>0.84491000000000005</v>
      </c>
      <c r="BF48" s="20">
        <f t="shared" si="128"/>
        <v>33030</v>
      </c>
      <c r="BG48" s="20">
        <f t="shared" si="129"/>
        <v>28075.5</v>
      </c>
      <c r="BH48" s="19">
        <v>46</v>
      </c>
      <c r="BI48" s="23">
        <v>23</v>
      </c>
      <c r="BJ48" s="24">
        <v>0.48</v>
      </c>
    </row>
    <row r="49" spans="31:62" ht="39.950000000000003" hidden="1" customHeight="1" x14ac:dyDescent="0.25">
      <c r="AE49" s="34" t="s">
        <v>55</v>
      </c>
      <c r="AF49" s="32">
        <v>5422</v>
      </c>
      <c r="AI49" s="20">
        <f t="shared" si="122"/>
        <v>33030</v>
      </c>
      <c r="AJ49" s="20">
        <f t="shared" si="130"/>
        <v>33030</v>
      </c>
      <c r="AK49" s="20">
        <f t="shared" si="131"/>
        <v>0</v>
      </c>
      <c r="AL49" s="20">
        <f t="shared" si="123"/>
        <v>0</v>
      </c>
      <c r="AM49" s="20">
        <f t="shared" si="132"/>
        <v>250.69770000000003</v>
      </c>
      <c r="AN49" s="20">
        <f t="shared" si="124"/>
        <v>33030</v>
      </c>
      <c r="AO49" s="20">
        <f>(0)</f>
        <v>0</v>
      </c>
      <c r="AP49" s="20">
        <f t="shared" si="133"/>
        <v>33030</v>
      </c>
      <c r="AQ49" s="20">
        <f t="shared" si="134"/>
        <v>-4624.2000000000007</v>
      </c>
      <c r="AR49" s="20">
        <f t="shared" si="135"/>
        <v>-330.3</v>
      </c>
      <c r="AS49" s="20" t="s">
        <v>0</v>
      </c>
      <c r="AT49" s="20" t="s">
        <v>0</v>
      </c>
      <c r="AU49" s="20" t="s">
        <v>0</v>
      </c>
      <c r="AV49" s="20" t="s">
        <v>0</v>
      </c>
      <c r="AW49" s="20">
        <f t="shared" si="125"/>
        <v>28075.5</v>
      </c>
      <c r="AX49" s="20">
        <f>(0)</f>
        <v>0</v>
      </c>
      <c r="AY49" s="20">
        <f t="shared" si="136"/>
        <v>28075.5</v>
      </c>
      <c r="AZ49" s="20">
        <f>SUM(AY$44:$AY49)</f>
        <v>168453</v>
      </c>
      <c r="BA49" s="42">
        <f t="shared" si="126"/>
        <v>0.15</v>
      </c>
      <c r="BB49" s="34">
        <f t="shared" si="137"/>
        <v>0</v>
      </c>
      <c r="BC49" s="44">
        <f t="shared" si="127"/>
        <v>0.15</v>
      </c>
      <c r="BD49" s="20">
        <f t="shared" si="139"/>
        <v>4211.33</v>
      </c>
      <c r="BE49" s="44">
        <f t="shared" si="138"/>
        <v>0.84491000000000005</v>
      </c>
      <c r="BF49" s="20">
        <f t="shared" si="128"/>
        <v>33030</v>
      </c>
      <c r="BG49" s="20">
        <f t="shared" si="129"/>
        <v>28075.5</v>
      </c>
      <c r="BH49" s="19">
        <v>47</v>
      </c>
      <c r="BI49" s="23">
        <v>23.5</v>
      </c>
      <c r="BJ49" s="24">
        <v>0.49</v>
      </c>
    </row>
    <row r="50" spans="31:62" ht="39.950000000000003" hidden="1" customHeight="1" x14ac:dyDescent="0.25">
      <c r="AE50" s="34" t="s">
        <v>50</v>
      </c>
      <c r="AF50" s="32">
        <v>3623</v>
      </c>
      <c r="AI50" s="20">
        <f t="shared" ref="AI50:AI55" si="140">($AH$8)</f>
        <v>33030</v>
      </c>
      <c r="AJ50" s="20">
        <f t="shared" si="130"/>
        <v>33030</v>
      </c>
      <c r="AK50" s="20">
        <f t="shared" si="131"/>
        <v>0</v>
      </c>
      <c r="AL50" s="20">
        <f t="shared" si="123"/>
        <v>0</v>
      </c>
      <c r="AM50" s="20">
        <f t="shared" si="132"/>
        <v>250.69770000000003</v>
      </c>
      <c r="AN50" s="20">
        <f t="shared" si="124"/>
        <v>33030</v>
      </c>
      <c r="AO50" s="20">
        <f>(0)</f>
        <v>0</v>
      </c>
      <c r="AP50" s="20">
        <f t="shared" si="133"/>
        <v>33030</v>
      </c>
      <c r="AQ50" s="20">
        <f t="shared" si="134"/>
        <v>-4624.2000000000007</v>
      </c>
      <c r="AR50" s="20">
        <f t="shared" si="135"/>
        <v>-330.3</v>
      </c>
      <c r="AS50" s="20" t="s">
        <v>0</v>
      </c>
      <c r="AT50" s="20" t="s">
        <v>0</v>
      </c>
      <c r="AU50" s="20" t="s">
        <v>0</v>
      </c>
      <c r="AV50" s="20" t="s">
        <v>0</v>
      </c>
      <c r="AW50" s="20">
        <f t="shared" si="125"/>
        <v>28075.5</v>
      </c>
      <c r="AX50" s="20">
        <f>(0)</f>
        <v>0</v>
      </c>
      <c r="AY50" s="20">
        <f t="shared" si="136"/>
        <v>28075.5</v>
      </c>
      <c r="AZ50" s="20">
        <f>SUM(AY$44:$AY50)</f>
        <v>196528.5</v>
      </c>
      <c r="BA50" s="42">
        <f t="shared" si="126"/>
        <v>0.2</v>
      </c>
      <c r="BB50" s="34">
        <f t="shared" si="137"/>
        <v>1</v>
      </c>
      <c r="BC50" s="44">
        <f t="shared" si="127"/>
        <v>0.16162668518815337</v>
      </c>
      <c r="BD50" s="20">
        <f t="shared" si="139"/>
        <v>4537.75</v>
      </c>
      <c r="BE50" s="44">
        <f t="shared" si="138"/>
        <v>0.83502731759006965</v>
      </c>
      <c r="BF50" s="20">
        <f t="shared" si="128"/>
        <v>33030</v>
      </c>
      <c r="BG50" s="20">
        <f t="shared" si="129"/>
        <v>28075.5</v>
      </c>
      <c r="BH50" s="19">
        <v>48</v>
      </c>
      <c r="BI50" s="23">
        <v>24</v>
      </c>
      <c r="BJ50" s="24">
        <v>0.5</v>
      </c>
    </row>
    <row r="51" spans="31:62" ht="39.950000000000003" hidden="1" customHeight="1" x14ac:dyDescent="0.25">
      <c r="AE51" s="34" t="s">
        <v>51</v>
      </c>
      <c r="AF51" s="32">
        <v>5422</v>
      </c>
      <c r="AI51" s="20">
        <f t="shared" si="140"/>
        <v>33030</v>
      </c>
      <c r="AJ51" s="20">
        <f t="shared" si="130"/>
        <v>33030</v>
      </c>
      <c r="AK51" s="20">
        <f t="shared" si="131"/>
        <v>0</v>
      </c>
      <c r="AL51" s="20">
        <f t="shared" si="123"/>
        <v>0</v>
      </c>
      <c r="AM51" s="20">
        <f t="shared" si="132"/>
        <v>250.69770000000003</v>
      </c>
      <c r="AN51" s="20">
        <f t="shared" si="124"/>
        <v>33030</v>
      </c>
      <c r="AO51" s="20">
        <f>(0)</f>
        <v>0</v>
      </c>
      <c r="AP51" s="20">
        <f t="shared" si="133"/>
        <v>33030</v>
      </c>
      <c r="AQ51" s="20">
        <f t="shared" si="134"/>
        <v>-4624.2000000000007</v>
      </c>
      <c r="AR51" s="20">
        <f t="shared" si="135"/>
        <v>-330.3</v>
      </c>
      <c r="AS51" s="20" t="s">
        <v>0</v>
      </c>
      <c r="AT51" s="20" t="s">
        <v>0</v>
      </c>
      <c r="AU51" s="20" t="s">
        <v>0</v>
      </c>
      <c r="AV51" s="20" t="s">
        <v>0</v>
      </c>
      <c r="AW51" s="20">
        <f t="shared" si="125"/>
        <v>28075.5</v>
      </c>
      <c r="AX51" s="20">
        <f>(0)</f>
        <v>0</v>
      </c>
      <c r="AY51" s="20">
        <f t="shared" si="136"/>
        <v>28075.5</v>
      </c>
      <c r="AZ51" s="20">
        <f>SUM(AY$44:$AY51)</f>
        <v>224604</v>
      </c>
      <c r="BA51" s="42">
        <f t="shared" si="126"/>
        <v>0.2</v>
      </c>
      <c r="BB51" s="34">
        <f t="shared" si="137"/>
        <v>0</v>
      </c>
      <c r="BC51" s="44">
        <f t="shared" si="127"/>
        <v>0.2</v>
      </c>
      <c r="BD51" s="20">
        <f t="shared" si="139"/>
        <v>5615.1</v>
      </c>
      <c r="BE51" s="44">
        <f t="shared" si="138"/>
        <v>0.80240999999999996</v>
      </c>
      <c r="BF51" s="20">
        <f t="shared" si="128"/>
        <v>33030</v>
      </c>
      <c r="BG51" s="20">
        <f t="shared" si="129"/>
        <v>28075.5</v>
      </c>
      <c r="BH51" s="19">
        <v>49</v>
      </c>
      <c r="BI51" s="23">
        <v>24.5</v>
      </c>
      <c r="BJ51" s="46" t="s">
        <v>0</v>
      </c>
    </row>
    <row r="52" spans="31:62" ht="39.950000000000003" hidden="1" customHeight="1" x14ac:dyDescent="0.25">
      <c r="AE52" s="34" t="s">
        <v>8</v>
      </c>
      <c r="AF52" s="32">
        <v>5000</v>
      </c>
      <c r="AI52" s="20">
        <f t="shared" si="140"/>
        <v>33030</v>
      </c>
      <c r="AJ52" s="20">
        <f t="shared" si="130"/>
        <v>33030</v>
      </c>
      <c r="AK52" s="20">
        <f t="shared" si="131"/>
        <v>0</v>
      </c>
      <c r="AL52" s="20">
        <f t="shared" si="123"/>
        <v>0</v>
      </c>
      <c r="AM52" s="20">
        <f t="shared" si="132"/>
        <v>250.69770000000003</v>
      </c>
      <c r="AN52" s="20">
        <f t="shared" si="124"/>
        <v>33030</v>
      </c>
      <c r="AO52" s="20">
        <f>(0)</f>
        <v>0</v>
      </c>
      <c r="AP52" s="20">
        <f t="shared" si="133"/>
        <v>33030</v>
      </c>
      <c r="AQ52" s="20">
        <f t="shared" si="134"/>
        <v>-4624.2000000000007</v>
      </c>
      <c r="AR52" s="20">
        <f t="shared" si="135"/>
        <v>-330.3</v>
      </c>
      <c r="AS52" s="20" t="s">
        <v>0</v>
      </c>
      <c r="AT52" s="20" t="s">
        <v>0</v>
      </c>
      <c r="AU52" s="20" t="s">
        <v>0</v>
      </c>
      <c r="AV52" s="20" t="s">
        <v>0</v>
      </c>
      <c r="AW52" s="20">
        <f t="shared" si="125"/>
        <v>28075.5</v>
      </c>
      <c r="AX52" s="20">
        <f>(0)</f>
        <v>0</v>
      </c>
      <c r="AY52" s="20">
        <f t="shared" si="136"/>
        <v>28075.5</v>
      </c>
      <c r="AZ52" s="20">
        <f>SUM(AY$44:$AY52)</f>
        <v>252679.5</v>
      </c>
      <c r="BA52" s="42">
        <f t="shared" si="126"/>
        <v>0.2</v>
      </c>
      <c r="BB52" s="34">
        <f t="shared" si="137"/>
        <v>0</v>
      </c>
      <c r="BC52" s="44">
        <f t="shared" si="127"/>
        <v>0.2</v>
      </c>
      <c r="BD52" s="20">
        <f t="shared" si="139"/>
        <v>5615.1</v>
      </c>
      <c r="BE52" s="44">
        <f t="shared" si="138"/>
        <v>0.80240999999999996</v>
      </c>
      <c r="BF52" s="20">
        <f t="shared" si="128"/>
        <v>33030</v>
      </c>
      <c r="BG52" s="20">
        <f t="shared" si="129"/>
        <v>28075.5</v>
      </c>
      <c r="BH52" s="19">
        <v>50</v>
      </c>
      <c r="BI52" s="23">
        <v>25</v>
      </c>
      <c r="BJ52" s="46" t="s">
        <v>0</v>
      </c>
    </row>
    <row r="53" spans="31:62" ht="39.950000000000003" hidden="1" customHeight="1" x14ac:dyDescent="0.25">
      <c r="AE53" s="34" t="s">
        <v>25</v>
      </c>
      <c r="AF53" s="32">
        <v>2500</v>
      </c>
      <c r="AI53" s="20">
        <f t="shared" si="140"/>
        <v>33030</v>
      </c>
      <c r="AJ53" s="20">
        <f t="shared" si="130"/>
        <v>33030</v>
      </c>
      <c r="AK53" s="20">
        <f t="shared" si="131"/>
        <v>0</v>
      </c>
      <c r="AL53" s="20">
        <f t="shared" si="123"/>
        <v>0</v>
      </c>
      <c r="AM53" s="20">
        <f t="shared" si="132"/>
        <v>250.69770000000003</v>
      </c>
      <c r="AN53" s="20">
        <f t="shared" si="124"/>
        <v>33030</v>
      </c>
      <c r="AO53" s="20">
        <f>(0)</f>
        <v>0</v>
      </c>
      <c r="AP53" s="20">
        <f t="shared" si="133"/>
        <v>33030</v>
      </c>
      <c r="AQ53" s="20">
        <f t="shared" si="134"/>
        <v>-4624.2000000000007</v>
      </c>
      <c r="AR53" s="20">
        <f t="shared" si="135"/>
        <v>-330.3</v>
      </c>
      <c r="AS53" s="20" t="s">
        <v>0</v>
      </c>
      <c r="AT53" s="20" t="s">
        <v>0</v>
      </c>
      <c r="AU53" s="20" t="s">
        <v>0</v>
      </c>
      <c r="AV53" s="20" t="s">
        <v>0</v>
      </c>
      <c r="AW53" s="20">
        <f t="shared" si="125"/>
        <v>28075.5</v>
      </c>
      <c r="AX53" s="20">
        <f>(0)</f>
        <v>0</v>
      </c>
      <c r="AY53" s="20">
        <f t="shared" si="136"/>
        <v>28075.5</v>
      </c>
      <c r="AZ53" s="20">
        <f>SUM(AY$44:$AY53)</f>
        <v>280755</v>
      </c>
      <c r="BA53" s="42">
        <f t="shared" si="126"/>
        <v>0.2</v>
      </c>
      <c r="BB53" s="34">
        <f t="shared" si="137"/>
        <v>0</v>
      </c>
      <c r="BC53" s="44">
        <f t="shared" si="127"/>
        <v>0.2</v>
      </c>
      <c r="BD53" s="20">
        <f t="shared" si="139"/>
        <v>5615.1</v>
      </c>
      <c r="BE53" s="44">
        <f t="shared" si="138"/>
        <v>0.80240999999999996</v>
      </c>
      <c r="BF53" s="20">
        <f t="shared" si="128"/>
        <v>33030</v>
      </c>
      <c r="BG53" s="20">
        <f t="shared" si="129"/>
        <v>28075.5</v>
      </c>
      <c r="BH53" s="19">
        <v>51</v>
      </c>
      <c r="BI53" s="23">
        <v>25.5</v>
      </c>
      <c r="BJ53" s="46" t="s">
        <v>0</v>
      </c>
    </row>
    <row r="54" spans="31:62" ht="39.950000000000003" hidden="1" customHeight="1" x14ac:dyDescent="0.25">
      <c r="AE54" s="34" t="s">
        <v>22</v>
      </c>
      <c r="AF54" s="32">
        <v>35000</v>
      </c>
      <c r="AI54" s="20">
        <f t="shared" si="140"/>
        <v>33030</v>
      </c>
      <c r="AJ54" s="20">
        <f t="shared" si="130"/>
        <v>33030</v>
      </c>
      <c r="AK54" s="20">
        <f t="shared" si="131"/>
        <v>0</v>
      </c>
      <c r="AL54" s="20">
        <f t="shared" si="123"/>
        <v>0</v>
      </c>
      <c r="AM54" s="20">
        <f t="shared" si="132"/>
        <v>250.69770000000003</v>
      </c>
      <c r="AN54" s="20">
        <f t="shared" si="124"/>
        <v>33030</v>
      </c>
      <c r="AO54" s="20">
        <f>(0)</f>
        <v>0</v>
      </c>
      <c r="AP54" s="20">
        <f t="shared" si="133"/>
        <v>33030</v>
      </c>
      <c r="AQ54" s="20">
        <f t="shared" si="134"/>
        <v>-4624.2000000000007</v>
      </c>
      <c r="AR54" s="20">
        <f t="shared" si="135"/>
        <v>-330.3</v>
      </c>
      <c r="AS54" s="20" t="s">
        <v>0</v>
      </c>
      <c r="AT54" s="20" t="s">
        <v>0</v>
      </c>
      <c r="AU54" s="20" t="s">
        <v>0</v>
      </c>
      <c r="AV54" s="20" t="s">
        <v>0</v>
      </c>
      <c r="AW54" s="20">
        <f t="shared" si="125"/>
        <v>28075.5</v>
      </c>
      <c r="AX54" s="20">
        <f>(0)</f>
        <v>0</v>
      </c>
      <c r="AY54" s="20">
        <f t="shared" si="136"/>
        <v>28075.5</v>
      </c>
      <c r="AZ54" s="20">
        <f>SUM(AY$44:$AY54)</f>
        <v>308830.5</v>
      </c>
      <c r="BA54" s="42">
        <f t="shared" si="126"/>
        <v>0.2</v>
      </c>
      <c r="BB54" s="34">
        <f t="shared" si="137"/>
        <v>0</v>
      </c>
      <c r="BC54" s="44">
        <f t="shared" si="127"/>
        <v>0.2</v>
      </c>
      <c r="BD54" s="20">
        <f t="shared" si="139"/>
        <v>5615.1</v>
      </c>
      <c r="BE54" s="44">
        <f t="shared" si="138"/>
        <v>0.80240999999999996</v>
      </c>
      <c r="BF54" s="20">
        <f t="shared" si="128"/>
        <v>33030</v>
      </c>
      <c r="BG54" s="20">
        <f t="shared" si="129"/>
        <v>28075.5</v>
      </c>
      <c r="BH54" s="19">
        <v>52</v>
      </c>
      <c r="BI54" s="23">
        <v>26</v>
      </c>
      <c r="BJ54" s="46" t="s">
        <v>0</v>
      </c>
    </row>
    <row r="55" spans="31:62" ht="39.950000000000003" hidden="1" customHeight="1" x14ac:dyDescent="0.25">
      <c r="AI55" s="20">
        <f t="shared" si="140"/>
        <v>33030</v>
      </c>
      <c r="AJ55" s="20">
        <f t="shared" si="130"/>
        <v>33030</v>
      </c>
      <c r="AK55" s="20">
        <f t="shared" si="131"/>
        <v>0</v>
      </c>
      <c r="AL55" s="20">
        <f t="shared" si="123"/>
        <v>0</v>
      </c>
      <c r="AM55" s="20">
        <f t="shared" si="132"/>
        <v>250.69770000000003</v>
      </c>
      <c r="AN55" s="20">
        <f t="shared" si="124"/>
        <v>33030</v>
      </c>
      <c r="AO55" s="20">
        <f>(0)</f>
        <v>0</v>
      </c>
      <c r="AP55" s="20">
        <f t="shared" si="133"/>
        <v>33030</v>
      </c>
      <c r="AQ55" s="20">
        <f t="shared" si="134"/>
        <v>-4624.2000000000007</v>
      </c>
      <c r="AR55" s="20">
        <f t="shared" si="135"/>
        <v>-330.3</v>
      </c>
      <c r="AS55" s="20" t="s">
        <v>0</v>
      </c>
      <c r="AT55" s="20" t="s">
        <v>0</v>
      </c>
      <c r="AU55" s="20" t="s">
        <v>0</v>
      </c>
      <c r="AV55" s="20" t="s">
        <v>0</v>
      </c>
      <c r="AW55" s="20">
        <f t="shared" si="125"/>
        <v>28075.5</v>
      </c>
      <c r="AX55" s="20">
        <f>(0)</f>
        <v>0</v>
      </c>
      <c r="AY55" s="20">
        <f t="shared" si="136"/>
        <v>28075.5</v>
      </c>
      <c r="AZ55" s="20">
        <f>SUM(AY$44:$AY55)</f>
        <v>336906</v>
      </c>
      <c r="BA55" s="42">
        <f t="shared" si="126"/>
        <v>0.2</v>
      </c>
      <c r="BB55" s="34">
        <f t="shared" si="137"/>
        <v>0</v>
      </c>
      <c r="BC55" s="44">
        <f t="shared" si="127"/>
        <v>0.2</v>
      </c>
      <c r="BD55" s="20">
        <f t="shared" si="139"/>
        <v>5615.1</v>
      </c>
      <c r="BE55" s="44">
        <f t="shared" si="138"/>
        <v>0.80240999999999996</v>
      </c>
      <c r="BF55" s="20">
        <f t="shared" si="128"/>
        <v>33030</v>
      </c>
      <c r="BG55" s="20">
        <f t="shared" si="129"/>
        <v>28075.5</v>
      </c>
      <c r="BH55" s="19">
        <v>53</v>
      </c>
      <c r="BI55" s="23">
        <v>26.5</v>
      </c>
      <c r="BJ55" s="46" t="s">
        <v>0</v>
      </c>
    </row>
    <row r="56" spans="31:62" ht="39.950000000000003" hidden="1" customHeight="1" x14ac:dyDescent="0.25">
      <c r="AI56" s="20">
        <f t="shared" ref="AI56" si="141">(AI44+AI45+AI46+AI47+AI48+AI49+AI50+AI51+AI52+AI53+AI54+AI55)</f>
        <v>396360</v>
      </c>
      <c r="AJ56" s="20">
        <f t="shared" ref="AJ56" si="142">(AJ44+AJ45+AJ46+AJ47+AJ48+AJ49+AJ50+AJ51+AJ52+AJ53+AJ54+AJ55)</f>
        <v>396360</v>
      </c>
      <c r="AK56" s="20">
        <f t="shared" ref="AK56:AM56" si="143">(AK44+AK45+AK46+AK47+AK48+AK49+AK50+AK51+AK52+AK53+AK54+AK55)</f>
        <v>0</v>
      </c>
      <c r="AL56" s="20">
        <f>(AL44+AL45+AL46+AL47+AL48+AL49+AL50+AL51+AL52+AL53+AL54+AL55)</f>
        <v>0</v>
      </c>
      <c r="AM56" s="20">
        <f t="shared" si="143"/>
        <v>3008.3724000000007</v>
      </c>
      <c r="AN56" s="20">
        <f t="shared" ref="AN56" si="144">(AN44+AN45+AN46+AN47+AN48+AN49+AN50+AN51+AN52+AN53+AN54+AN55)</f>
        <v>396360</v>
      </c>
      <c r="AO56" s="20">
        <f t="shared" ref="AO56" si="145">(AO44+AO45+AO46+AO47+AO48+AO49+AO50+AO51+AO52+AO53+AO54+AO55)</f>
        <v>0</v>
      </c>
      <c r="AP56" s="20">
        <f t="shared" ref="AP56" si="146">(AP44+AP45+AP46+AP47+AP48+AP49+AP50+AP51+AP52+AP53+AP54+AP55)</f>
        <v>396360</v>
      </c>
      <c r="AQ56" s="20">
        <f t="shared" ref="AQ56" si="147">(AQ44+AQ45+AQ46+AQ47+AQ48+AQ49+AQ50+AQ51+AQ52+AQ53+AQ54+AQ55)</f>
        <v>-55490.399999999994</v>
      </c>
      <c r="AR56" s="20">
        <f t="shared" ref="AR56" si="148">(AR44+AR45+AR46+AR47+AR48+AR49+AR50+AR51+AR52+AR53+AR54+AR55)</f>
        <v>-3963.6000000000008</v>
      </c>
      <c r="AS56" s="25" t="s">
        <v>0</v>
      </c>
      <c r="AT56" s="25" t="s">
        <v>0</v>
      </c>
      <c r="AU56" s="25" t="s">
        <v>0</v>
      </c>
      <c r="AV56" s="25" t="s">
        <v>0</v>
      </c>
      <c r="AW56" s="20">
        <f t="shared" ref="AW56" si="149">(AW44+AW45+AW46+AW47+AW48+AW49+AW50+AW51+AW52+AW53+AW54+AW55)</f>
        <v>336906</v>
      </c>
      <c r="AX56" s="20">
        <f t="shared" ref="AX56" si="150">(AX44+AX45+AX46+AX47+AX48+AX49+AX50+AX51+AX52+AX53+AX54+AX55)</f>
        <v>0</v>
      </c>
      <c r="AY56" s="20">
        <f t="shared" ref="AY56" si="151">(AY44+AY45+AY46+AY47+AY48+AY49+AY50+AY51+AY52+AY53+AY54+AY55)</f>
        <v>336906</v>
      </c>
      <c r="AZ56" s="25" t="s">
        <v>0</v>
      </c>
      <c r="BA56" s="19" t="s">
        <v>0</v>
      </c>
      <c r="BB56" s="19" t="s">
        <v>0</v>
      </c>
      <c r="BC56" s="19" t="s">
        <v>0</v>
      </c>
      <c r="BD56" s="20">
        <f t="shared" ref="BD56" si="152">(BD44+BD45+BD46+BD47+BD48+BD49+BD50+BD51+BD52+BD53+BD54+BD55)</f>
        <v>57881.229999999996</v>
      </c>
      <c r="BE56" s="19" t="s">
        <v>0</v>
      </c>
      <c r="BF56" s="20">
        <f t="shared" ref="BF56" si="153">(BF44+BF45+BF46+BF47+BF48+BF49+BF50+BF51+BF52+BF53+BF54+BF55)</f>
        <v>396360</v>
      </c>
      <c r="BG56" s="20">
        <f t="shared" ref="BG56" si="154">(BG44+BG45+BG46+BG47+BG48+BG49+BG50+BG51+BG52+BG53+BG54+BG55)</f>
        <v>336906</v>
      </c>
      <c r="BH56" s="19">
        <v>54</v>
      </c>
      <c r="BI56" s="23">
        <v>27</v>
      </c>
      <c r="BJ56" s="46" t="s">
        <v>0</v>
      </c>
    </row>
    <row r="57" spans="31:62" ht="39.950000000000003" hidden="1" customHeight="1" x14ac:dyDescent="0.25">
      <c r="AI57" s="20">
        <f t="shared" ref="AI57" si="155">(AI56/12)</f>
        <v>33030</v>
      </c>
      <c r="AJ57" s="20">
        <f t="shared" ref="AJ57" si="156">(AJ56/12)</f>
        <v>33030</v>
      </c>
      <c r="AK57" s="20">
        <f t="shared" ref="AK57:AM57" si="157">(AK56/12)</f>
        <v>0</v>
      </c>
      <c r="AL57" s="20">
        <f>(AL56/12)</f>
        <v>0</v>
      </c>
      <c r="AM57" s="20">
        <f t="shared" si="157"/>
        <v>250.69770000000005</v>
      </c>
      <c r="AN57" s="20">
        <f t="shared" ref="AN57" si="158">(AN56/12)</f>
        <v>33030</v>
      </c>
      <c r="AO57" s="20">
        <f t="shared" ref="AO57" si="159">(AO56/12)</f>
        <v>0</v>
      </c>
      <c r="AP57" s="20">
        <f t="shared" ref="AP57" si="160">(AP56/12)</f>
        <v>33030</v>
      </c>
      <c r="AQ57" s="20">
        <f t="shared" ref="AQ57" si="161">(AQ56/12)</f>
        <v>-4624.2</v>
      </c>
      <c r="AR57" s="20">
        <f t="shared" ref="AR57" si="162">(AR56/12)</f>
        <v>-330.30000000000007</v>
      </c>
      <c r="AS57" s="25" t="s">
        <v>0</v>
      </c>
      <c r="AT57" s="25" t="s">
        <v>0</v>
      </c>
      <c r="AU57" s="25" t="s">
        <v>0</v>
      </c>
      <c r="AV57" s="25" t="s">
        <v>0</v>
      </c>
      <c r="AW57" s="20">
        <f t="shared" ref="AW57" si="163">(AW56/12)</f>
        <v>28075.5</v>
      </c>
      <c r="AX57" s="20">
        <f t="shared" ref="AX57" si="164">(AX56/12)</f>
        <v>0</v>
      </c>
      <c r="AY57" s="20">
        <f t="shared" ref="AY57" si="165">(AY56/12)</f>
        <v>28075.5</v>
      </c>
      <c r="AZ57" s="25" t="s">
        <v>0</v>
      </c>
      <c r="BA57" s="25" t="s">
        <v>0</v>
      </c>
      <c r="BB57" s="25" t="s">
        <v>0</v>
      </c>
      <c r="BC57" s="25" t="s">
        <v>0</v>
      </c>
      <c r="BD57" s="20">
        <f t="shared" ref="BD57" si="166">(BD56/12)</f>
        <v>4823.435833333333</v>
      </c>
      <c r="BE57" s="25" t="s">
        <v>0</v>
      </c>
      <c r="BF57" s="20">
        <f t="shared" ref="BF57" si="167">(BF56/12)</f>
        <v>33030</v>
      </c>
      <c r="BG57" s="20">
        <f t="shared" ref="BG57" si="168">(BG56/12)</f>
        <v>28075.5</v>
      </c>
      <c r="BH57" s="19">
        <v>55</v>
      </c>
      <c r="BI57" s="23">
        <v>27.5</v>
      </c>
      <c r="BJ57" s="46" t="s">
        <v>0</v>
      </c>
    </row>
    <row r="58" spans="31:62" ht="39.950000000000003" hidden="1" customHeight="1" x14ac:dyDescent="0.25">
      <c r="AU58" s="20">
        <f>(0)</f>
        <v>0</v>
      </c>
      <c r="AV58" s="42">
        <f>(0%)</f>
        <v>0</v>
      </c>
      <c r="BH58" s="19">
        <v>56</v>
      </c>
      <c r="BI58" s="23">
        <v>28</v>
      </c>
      <c r="BJ58" s="46" t="s">
        <v>0</v>
      </c>
    </row>
    <row r="59" spans="31:62" ht="39.950000000000003" hidden="1" customHeight="1" x14ac:dyDescent="0.25">
      <c r="AI59" s="20">
        <f t="shared" ref="AI59:AI70" ca="1" si="169">(AN15+AQ15+AS15+AT15+AU15+AW15+AY15+AU1+AY1+D15+AL29)</f>
        <v>100253.95048341749</v>
      </c>
      <c r="AJ59" s="20">
        <f t="shared" ref="AJ59:AJ70" si="170">(AJ44+AR29)</f>
        <v>40830</v>
      </c>
      <c r="AK59" s="20">
        <f ca="1">(AI59-AJ59)</f>
        <v>59423.950483417488</v>
      </c>
      <c r="AL59" s="20">
        <f t="shared" ref="AL59:AL70" ca="1" si="171">(AK59*0.00759*-1)</f>
        <v>-451.02778416913873</v>
      </c>
      <c r="AM59" s="20">
        <f ca="1">(AI59)</f>
        <v>100253.95048341749</v>
      </c>
      <c r="AN59" s="20">
        <f t="shared" ref="AN59:AN70" si="172">(AL1+AM29)</f>
        <v>4108</v>
      </c>
      <c r="AO59" s="20">
        <f t="shared" ref="AO59:AO70" ca="1" si="173">IF(AM59-AN59&gt;=AI44*7.5,AI44*7.5,AM59-AN59)</f>
        <v>96145.950483417488</v>
      </c>
      <c r="AP59" s="20">
        <f ca="1">(AO59*0.14*-1)</f>
        <v>-13460.43306767845</v>
      </c>
      <c r="AQ59" s="20">
        <f ca="1">(AO59*0.01*-1)</f>
        <v>-961.45950483417494</v>
      </c>
      <c r="AR59" s="20">
        <f t="shared" ref="AR59:AR70" ca="1" si="174">(AI59+AP59+AQ59)</f>
        <v>85832.05791090487</v>
      </c>
      <c r="AS59" s="20">
        <f t="shared" ref="AS59:AS70" si="175">(AQ1+AM29+AQ29+BB15)</f>
        <v>7246.2</v>
      </c>
      <c r="AT59" s="20">
        <f ca="1">(AR59-AS59)</f>
        <v>78585.857910904873</v>
      </c>
      <c r="AU59" s="20">
        <f ca="1">SUM($AT$59:AT59)</f>
        <v>78585.857910904873</v>
      </c>
      <c r="AV59" s="42">
        <f t="shared" ref="AV59:AV70" ca="1" si="176">IF(AU59&lt;=$AU$44,$AS$44,
IF(AU59&gt;$AU$46,
IF(AU59&gt;$AU$47,$AS$48,$AS$47),
IF(AU59&lt;$AU$45,$AS$45,$AS$46)))</f>
        <v>0.15</v>
      </c>
      <c r="AW59" s="34">
        <f ca="1">IF(AV59-AV58=0,0,1)</f>
        <v>1</v>
      </c>
      <c r="AX59" s="44">
        <f t="shared" ref="AX59:AX70" ca="1" si="177">(IF(AW59=0,AV59,(VLOOKUP($AV59,$AS$44:$AV$48,2,0)-AU58)/AT59*AV58+(AU59-VLOOKUP($AV59,$AS$44:$AV$48,2,0))/AT59*AV59))</f>
        <v>0.15</v>
      </c>
      <c r="AY59" s="20">
        <f ca="1">(ROUND(AT59*AX59,2)*(-1)+VLOOKUP(AV59,$AS$44:$AV$48,4,0)*(-1))</f>
        <v>-11787.88</v>
      </c>
      <c r="AZ59" s="20">
        <f t="shared" ref="AZ59:AZ70" ca="1" si="178">(AY59+BD44)</f>
        <v>-7576.5499999999993</v>
      </c>
      <c r="BA59" s="44">
        <f t="shared" ref="BA59:BA70" ca="1" si="179">(100+(100*0.00759*-1)+(100)*AX59*-1)/100</f>
        <v>0.84240999999999999</v>
      </c>
      <c r="BB59" s="44">
        <f>(100+(100*0.00759*-1)+(100*0.14*-1)+(100*0.01*-1))/100</f>
        <v>0.84240999999999999</v>
      </c>
      <c r="BC59" s="44">
        <f t="shared" ref="BC59:BC70" ca="1" si="180">(100+(100*0.00759*-1)+(100*0.14*-1)+(100*0.01*-1)+(100+100*0.14*-1+100*0.01*-1)*AX59*-1)/100</f>
        <v>0.71491000000000005</v>
      </c>
      <c r="BH59" s="19">
        <v>57</v>
      </c>
      <c r="BI59" s="23">
        <v>28.5</v>
      </c>
      <c r="BJ59" s="46" t="s">
        <v>0</v>
      </c>
    </row>
    <row r="60" spans="31:62" ht="39.950000000000003" hidden="1" customHeight="1" x14ac:dyDescent="0.25">
      <c r="AI60" s="20">
        <f t="shared" ca="1" si="169"/>
        <v>100638.61428725295</v>
      </c>
      <c r="AJ60" s="20">
        <f t="shared" si="170"/>
        <v>40830</v>
      </c>
      <c r="AK60" s="20">
        <f t="shared" ref="AK60:AK70" ca="1" si="181">(AI60-AJ60)</f>
        <v>59808.614287252945</v>
      </c>
      <c r="AL60" s="20">
        <f t="shared" ca="1" si="171"/>
        <v>-453.9473824402499</v>
      </c>
      <c r="AM60" s="20">
        <f t="shared" ref="AM60:AM70" ca="1" si="182">(AI60)</f>
        <v>100638.61428725295</v>
      </c>
      <c r="AN60" s="20">
        <f t="shared" si="172"/>
        <v>4108</v>
      </c>
      <c r="AO60" s="20">
        <f t="shared" ca="1" si="173"/>
        <v>96530.614287252945</v>
      </c>
      <c r="AP60" s="20">
        <f t="shared" ref="AP60:AP70" ca="1" si="183">(AO60*0.14*-1)</f>
        <v>-13514.286000215414</v>
      </c>
      <c r="AQ60" s="20">
        <f t="shared" ref="AQ60:AQ70" ca="1" si="184">(AO60*0.01*-1)</f>
        <v>-965.30614287252945</v>
      </c>
      <c r="AR60" s="20">
        <f t="shared" ca="1" si="174"/>
        <v>86159.022144164992</v>
      </c>
      <c r="AS60" s="20">
        <f t="shared" si="175"/>
        <v>7246.2</v>
      </c>
      <c r="AT60" s="20">
        <f t="shared" ref="AT60:AT70" ca="1" si="185">(AR60-AS60)</f>
        <v>78912.822144164995</v>
      </c>
      <c r="AU60" s="20">
        <f ca="1">SUM($AT$59:AT60)</f>
        <v>157498.68005506985</v>
      </c>
      <c r="AV60" s="42">
        <f t="shared" ca="1" si="176"/>
        <v>0.15</v>
      </c>
      <c r="AW60" s="34">
        <f t="shared" ref="AW60:AW70" ca="1" si="186">IF(AV60-AV59=0,0,1)</f>
        <v>0</v>
      </c>
      <c r="AX60" s="44">
        <f t="shared" ca="1" si="177"/>
        <v>0.15</v>
      </c>
      <c r="AY60" s="20">
        <f ca="1">(ROUND(AT60*AX60,2)*(-1))</f>
        <v>-11836.92</v>
      </c>
      <c r="AZ60" s="20">
        <f t="shared" ca="1" si="178"/>
        <v>-7625.59</v>
      </c>
      <c r="BA60" s="44">
        <f t="shared" ca="1" si="179"/>
        <v>0.84240999999999999</v>
      </c>
      <c r="BB60" s="44">
        <f t="shared" ref="BB60:BB70" si="187">(100+(100*0.00759*-1)+(100*0.14*-1)+(100*0.01*-1))/100</f>
        <v>0.84240999999999999</v>
      </c>
      <c r="BC60" s="44">
        <f t="shared" ca="1" si="180"/>
        <v>0.71491000000000005</v>
      </c>
      <c r="BH60" s="19">
        <v>58</v>
      </c>
      <c r="BI60" s="23">
        <v>29</v>
      </c>
      <c r="BJ60" s="46" t="s">
        <v>0</v>
      </c>
    </row>
    <row r="61" spans="31:62" ht="39.950000000000003" hidden="1" customHeight="1" x14ac:dyDescent="0.25">
      <c r="AI61" s="20">
        <f t="shared" ca="1" si="169"/>
        <v>205058.11069808554</v>
      </c>
      <c r="AJ61" s="20">
        <f t="shared" si="170"/>
        <v>40830</v>
      </c>
      <c r="AK61" s="20">
        <f t="shared" ca="1" si="181"/>
        <v>164228.11069808554</v>
      </c>
      <c r="AL61" s="20">
        <f t="shared" ca="1" si="171"/>
        <v>-1246.4913601984692</v>
      </c>
      <c r="AM61" s="20">
        <f t="shared" ca="1" si="182"/>
        <v>205058.11069808554</v>
      </c>
      <c r="AN61" s="20">
        <f t="shared" si="172"/>
        <v>4108</v>
      </c>
      <c r="AO61" s="20">
        <f t="shared" ca="1" si="173"/>
        <v>200950.11069808554</v>
      </c>
      <c r="AP61" s="20">
        <f t="shared" ca="1" si="183"/>
        <v>-28133.01549773198</v>
      </c>
      <c r="AQ61" s="20">
        <f t="shared" ca="1" si="184"/>
        <v>-2009.5011069808554</v>
      </c>
      <c r="AR61" s="20">
        <f t="shared" ca="1" si="174"/>
        <v>174915.5940933727</v>
      </c>
      <c r="AS61" s="20">
        <f t="shared" si="175"/>
        <v>7246.2</v>
      </c>
      <c r="AT61" s="20">
        <f t="shared" ca="1" si="185"/>
        <v>167669.39409337268</v>
      </c>
      <c r="AU61" s="20">
        <f ca="1">SUM($AT$59:AT61)</f>
        <v>325168.07414844254</v>
      </c>
      <c r="AV61" s="42">
        <f t="shared" ca="1" si="176"/>
        <v>0.2</v>
      </c>
      <c r="AW61" s="34">
        <f t="shared" ca="1" si="186"/>
        <v>1</v>
      </c>
      <c r="AX61" s="44">
        <f t="shared" ca="1" si="177"/>
        <v>0.190307915132433</v>
      </c>
      <c r="AY61" s="20">
        <f t="shared" ref="AY61:AY70" ca="1" si="188">(ROUND(AT61*AX61,2)*(-1))</f>
        <v>-31908.81</v>
      </c>
      <c r="AZ61" s="20">
        <f t="shared" ca="1" si="178"/>
        <v>-27697.480000000003</v>
      </c>
      <c r="BA61" s="44">
        <f t="shared" ca="1" si="179"/>
        <v>0.80210208486756696</v>
      </c>
      <c r="BB61" s="44">
        <f t="shared" si="187"/>
        <v>0.84240999999999999</v>
      </c>
      <c r="BC61" s="44">
        <f t="shared" ca="1" si="180"/>
        <v>0.68064827213743195</v>
      </c>
      <c r="BH61" s="19">
        <v>59</v>
      </c>
      <c r="BI61" s="23">
        <v>29.5</v>
      </c>
      <c r="BJ61" s="46" t="s">
        <v>0</v>
      </c>
    </row>
    <row r="62" spans="31:62" ht="39.950000000000003" hidden="1" customHeight="1" x14ac:dyDescent="0.25">
      <c r="AI62" s="20">
        <f t="shared" ca="1" si="169"/>
        <v>117351.41428437593</v>
      </c>
      <c r="AJ62" s="20">
        <f t="shared" si="170"/>
        <v>40830</v>
      </c>
      <c r="AK62" s="20">
        <f t="shared" ca="1" si="181"/>
        <v>76521.414284375933</v>
      </c>
      <c r="AL62" s="20">
        <f t="shared" ca="1" si="171"/>
        <v>-580.79753441841331</v>
      </c>
      <c r="AM62" s="20">
        <f t="shared" ca="1" si="182"/>
        <v>117351.41428437593</v>
      </c>
      <c r="AN62" s="20">
        <f t="shared" si="172"/>
        <v>4108</v>
      </c>
      <c r="AO62" s="20">
        <f t="shared" ca="1" si="173"/>
        <v>113243.41428437593</v>
      </c>
      <c r="AP62" s="20">
        <f t="shared" ca="1" si="183"/>
        <v>-15854.077999812633</v>
      </c>
      <c r="AQ62" s="20">
        <f t="shared" ca="1" si="184"/>
        <v>-1132.4341428437594</v>
      </c>
      <c r="AR62" s="20">
        <f t="shared" ca="1" si="174"/>
        <v>100364.90214171953</v>
      </c>
      <c r="AS62" s="20">
        <f t="shared" si="175"/>
        <v>7246.2</v>
      </c>
      <c r="AT62" s="20">
        <f t="shared" ca="1" si="185"/>
        <v>93118.702141719536</v>
      </c>
      <c r="AU62" s="20">
        <f ca="1">SUM($AT$59:AT62)</f>
        <v>418286.77629016206</v>
      </c>
      <c r="AV62" s="42">
        <f t="shared" ca="1" si="176"/>
        <v>0.27</v>
      </c>
      <c r="AW62" s="34">
        <f t="shared" ca="1" si="186"/>
        <v>1</v>
      </c>
      <c r="AX62" s="44">
        <f t="shared" ca="1" si="177"/>
        <v>0.21374669438973889</v>
      </c>
      <c r="AY62" s="20">
        <f t="shared" ca="1" si="188"/>
        <v>-19903.810000000001</v>
      </c>
      <c r="AZ62" s="20">
        <f t="shared" ca="1" si="178"/>
        <v>-15692.480000000001</v>
      </c>
      <c r="BA62" s="44">
        <f t="shared" ca="1" si="179"/>
        <v>0.77866330561026098</v>
      </c>
      <c r="BB62" s="44">
        <f t="shared" si="187"/>
        <v>0.84240999999999999</v>
      </c>
      <c r="BC62" s="44">
        <f t="shared" ca="1" si="180"/>
        <v>0.66072530976872201</v>
      </c>
      <c r="BH62" s="19">
        <v>60</v>
      </c>
      <c r="BI62" s="23">
        <v>30</v>
      </c>
      <c r="BJ62" s="46" t="s">
        <v>0</v>
      </c>
    </row>
    <row r="63" spans="31:62" ht="39.950000000000003" hidden="1" customHeight="1" x14ac:dyDescent="0.25">
      <c r="AI63" s="20">
        <f t="shared" ca="1" si="169"/>
        <v>117740.81789544957</v>
      </c>
      <c r="AJ63" s="20">
        <f t="shared" si="170"/>
        <v>40830</v>
      </c>
      <c r="AK63" s="20">
        <f t="shared" ca="1" si="181"/>
        <v>76910.817895449567</v>
      </c>
      <c r="AL63" s="20">
        <f t="shared" ca="1" si="171"/>
        <v>-583.75310782646227</v>
      </c>
      <c r="AM63" s="20">
        <f t="shared" ca="1" si="182"/>
        <v>117740.81789544957</v>
      </c>
      <c r="AN63" s="20">
        <f t="shared" si="172"/>
        <v>4108</v>
      </c>
      <c r="AO63" s="20">
        <f t="shared" ca="1" si="173"/>
        <v>113632.81789544957</v>
      </c>
      <c r="AP63" s="20">
        <f t="shared" ca="1" si="183"/>
        <v>-15908.59450536294</v>
      </c>
      <c r="AQ63" s="20">
        <f t="shared" ca="1" si="184"/>
        <v>-1136.3281789544958</v>
      </c>
      <c r="AR63" s="20">
        <f t="shared" ca="1" si="174"/>
        <v>100695.89521113213</v>
      </c>
      <c r="AS63" s="20">
        <f t="shared" si="175"/>
        <v>7246.2</v>
      </c>
      <c r="AT63" s="20">
        <f t="shared" ca="1" si="185"/>
        <v>93449.69521113213</v>
      </c>
      <c r="AU63" s="20">
        <f ca="1">SUM($AT$59:AT63)</f>
        <v>511736.47150129417</v>
      </c>
      <c r="AV63" s="42">
        <f t="shared" ca="1" si="176"/>
        <v>0.27</v>
      </c>
      <c r="AW63" s="34">
        <f t="shared" ca="1" si="186"/>
        <v>0</v>
      </c>
      <c r="AX63" s="44">
        <f t="shared" ca="1" si="177"/>
        <v>0.27</v>
      </c>
      <c r="AY63" s="20">
        <f t="shared" ca="1" si="188"/>
        <v>-25231.42</v>
      </c>
      <c r="AZ63" s="20">
        <f t="shared" ca="1" si="178"/>
        <v>-21020.089999999997</v>
      </c>
      <c r="BA63" s="44">
        <f t="shared" ca="1" si="179"/>
        <v>0.72241</v>
      </c>
      <c r="BB63" s="44">
        <f t="shared" si="187"/>
        <v>0.84240999999999999</v>
      </c>
      <c r="BC63" s="44">
        <f t="shared" ca="1" si="180"/>
        <v>0.61290999999999995</v>
      </c>
      <c r="BH63" s="19">
        <v>61</v>
      </c>
      <c r="BI63" s="23">
        <v>30.5</v>
      </c>
      <c r="BJ63" s="46" t="s">
        <v>0</v>
      </c>
    </row>
    <row r="64" spans="31:62" ht="39.950000000000003" hidden="1" customHeight="1" x14ac:dyDescent="0.25">
      <c r="AI64" s="20">
        <f t="shared" ca="1" si="169"/>
        <v>215539.21789544958</v>
      </c>
      <c r="AJ64" s="20">
        <f t="shared" si="170"/>
        <v>40830</v>
      </c>
      <c r="AK64" s="20">
        <f t="shared" ca="1" si="181"/>
        <v>174709.21789544958</v>
      </c>
      <c r="AL64" s="20">
        <f t="shared" ca="1" si="171"/>
        <v>-1326.0429638264623</v>
      </c>
      <c r="AM64" s="20">
        <f t="shared" ca="1" si="182"/>
        <v>215539.21789544958</v>
      </c>
      <c r="AN64" s="20">
        <f t="shared" si="172"/>
        <v>4108</v>
      </c>
      <c r="AO64" s="20">
        <f t="shared" ca="1" si="173"/>
        <v>211431.21789544958</v>
      </c>
      <c r="AP64" s="20">
        <f t="shared" ca="1" si="183"/>
        <v>-29600.370505362942</v>
      </c>
      <c r="AQ64" s="20">
        <f t="shared" ca="1" si="184"/>
        <v>-2114.3121789544957</v>
      </c>
      <c r="AR64" s="20">
        <f t="shared" ca="1" si="174"/>
        <v>183824.53521113214</v>
      </c>
      <c r="AS64" s="20">
        <f t="shared" si="175"/>
        <v>7246.2</v>
      </c>
      <c r="AT64" s="20">
        <f t="shared" ca="1" si="185"/>
        <v>176578.33521113213</v>
      </c>
      <c r="AU64" s="20">
        <f ca="1">SUM($AT$59:AT64)</f>
        <v>688314.80671242625</v>
      </c>
      <c r="AV64" s="42">
        <f t="shared" ca="1" si="176"/>
        <v>0.27</v>
      </c>
      <c r="AW64" s="34">
        <f t="shared" ca="1" si="186"/>
        <v>0</v>
      </c>
      <c r="AX64" s="44">
        <f t="shared" ca="1" si="177"/>
        <v>0.27</v>
      </c>
      <c r="AY64" s="20">
        <f t="shared" ca="1" si="188"/>
        <v>-47676.15</v>
      </c>
      <c r="AZ64" s="20">
        <f t="shared" ca="1" si="178"/>
        <v>-43464.82</v>
      </c>
      <c r="BA64" s="44">
        <f t="shared" ca="1" si="179"/>
        <v>0.72241</v>
      </c>
      <c r="BB64" s="44">
        <f t="shared" si="187"/>
        <v>0.84240999999999999</v>
      </c>
      <c r="BC64" s="44">
        <f t="shared" ca="1" si="180"/>
        <v>0.61290999999999995</v>
      </c>
      <c r="BH64" s="19">
        <v>62</v>
      </c>
      <c r="BI64" s="23">
        <v>31</v>
      </c>
      <c r="BJ64" s="46" t="s">
        <v>0</v>
      </c>
    </row>
    <row r="65" spans="35:62" ht="39.950000000000003" hidden="1" customHeight="1" x14ac:dyDescent="0.25">
      <c r="AI65" s="20">
        <f t="shared" ca="1" si="169"/>
        <v>117740.81789544957</v>
      </c>
      <c r="AJ65" s="20">
        <f t="shared" si="170"/>
        <v>40830</v>
      </c>
      <c r="AK65" s="20">
        <f t="shared" ca="1" si="181"/>
        <v>76910.817895449567</v>
      </c>
      <c r="AL65" s="20">
        <f t="shared" ca="1" si="171"/>
        <v>-583.75310782646227</v>
      </c>
      <c r="AM65" s="20">
        <f t="shared" ca="1" si="182"/>
        <v>117740.81789544957</v>
      </c>
      <c r="AN65" s="20">
        <f t="shared" si="172"/>
        <v>4108</v>
      </c>
      <c r="AO65" s="20">
        <f t="shared" ca="1" si="173"/>
        <v>113632.81789544957</v>
      </c>
      <c r="AP65" s="20">
        <f t="shared" ca="1" si="183"/>
        <v>-15908.59450536294</v>
      </c>
      <c r="AQ65" s="20">
        <f t="shared" ca="1" si="184"/>
        <v>-1136.3281789544958</v>
      </c>
      <c r="AR65" s="20">
        <f t="shared" ca="1" si="174"/>
        <v>100695.89521113213</v>
      </c>
      <c r="AS65" s="20">
        <f t="shared" si="175"/>
        <v>7246.2</v>
      </c>
      <c r="AT65" s="20">
        <f t="shared" ca="1" si="185"/>
        <v>93449.69521113213</v>
      </c>
      <c r="AU65" s="20">
        <f ca="1">SUM($AT$59:AT65)</f>
        <v>781764.50192355842</v>
      </c>
      <c r="AV65" s="42">
        <f t="shared" ca="1" si="176"/>
        <v>0.27</v>
      </c>
      <c r="AW65" s="34">
        <f t="shared" ca="1" si="186"/>
        <v>0</v>
      </c>
      <c r="AX65" s="44">
        <f t="shared" ca="1" si="177"/>
        <v>0.27</v>
      </c>
      <c r="AY65" s="20">
        <f t="shared" ca="1" si="188"/>
        <v>-25231.42</v>
      </c>
      <c r="AZ65" s="20">
        <f t="shared" ca="1" si="178"/>
        <v>-20693.669999999998</v>
      </c>
      <c r="BA65" s="44">
        <f t="shared" ca="1" si="179"/>
        <v>0.72241</v>
      </c>
      <c r="BB65" s="44">
        <f t="shared" si="187"/>
        <v>0.84240999999999999</v>
      </c>
      <c r="BC65" s="44">
        <f t="shared" ca="1" si="180"/>
        <v>0.61290999999999995</v>
      </c>
      <c r="BH65" s="19">
        <v>63</v>
      </c>
      <c r="BI65" s="23">
        <v>31.5</v>
      </c>
      <c r="BJ65" s="46" t="s">
        <v>0</v>
      </c>
    </row>
    <row r="66" spans="35:62" ht="39.950000000000003" hidden="1" customHeight="1" x14ac:dyDescent="0.25">
      <c r="AI66" s="20">
        <f t="shared" ca="1" si="169"/>
        <v>117740.81789544957</v>
      </c>
      <c r="AJ66" s="20">
        <f t="shared" si="170"/>
        <v>40830</v>
      </c>
      <c r="AK66" s="20">
        <f t="shared" ca="1" si="181"/>
        <v>76910.817895449567</v>
      </c>
      <c r="AL66" s="20">
        <f t="shared" ca="1" si="171"/>
        <v>-583.75310782646227</v>
      </c>
      <c r="AM66" s="20">
        <f t="shared" ca="1" si="182"/>
        <v>117740.81789544957</v>
      </c>
      <c r="AN66" s="20">
        <f t="shared" si="172"/>
        <v>4108</v>
      </c>
      <c r="AO66" s="20">
        <f t="shared" ca="1" si="173"/>
        <v>113632.81789544957</v>
      </c>
      <c r="AP66" s="20">
        <f t="shared" ca="1" si="183"/>
        <v>-15908.59450536294</v>
      </c>
      <c r="AQ66" s="20">
        <f t="shared" ca="1" si="184"/>
        <v>-1136.3281789544958</v>
      </c>
      <c r="AR66" s="20">
        <f t="shared" ca="1" si="174"/>
        <v>100695.89521113213</v>
      </c>
      <c r="AS66" s="20">
        <f t="shared" si="175"/>
        <v>7246.2</v>
      </c>
      <c r="AT66" s="20">
        <f t="shared" ca="1" si="185"/>
        <v>93449.69521113213</v>
      </c>
      <c r="AU66" s="20">
        <f ca="1">SUM($AT$59:AT66)</f>
        <v>875214.19713469059</v>
      </c>
      <c r="AV66" s="42">
        <f t="shared" ca="1" si="176"/>
        <v>0.27</v>
      </c>
      <c r="AW66" s="34">
        <f t="shared" ca="1" si="186"/>
        <v>0</v>
      </c>
      <c r="AX66" s="44">
        <f t="shared" ca="1" si="177"/>
        <v>0.27</v>
      </c>
      <c r="AY66" s="20">
        <f t="shared" ca="1" si="188"/>
        <v>-25231.42</v>
      </c>
      <c r="AZ66" s="20">
        <f t="shared" ca="1" si="178"/>
        <v>-19616.32</v>
      </c>
      <c r="BA66" s="44">
        <f t="shared" ca="1" si="179"/>
        <v>0.72241</v>
      </c>
      <c r="BB66" s="44">
        <f t="shared" si="187"/>
        <v>0.84240999999999999</v>
      </c>
      <c r="BC66" s="44">
        <f t="shared" ca="1" si="180"/>
        <v>0.61290999999999995</v>
      </c>
      <c r="BH66" s="19">
        <v>64</v>
      </c>
      <c r="BI66" s="23">
        <v>32</v>
      </c>
      <c r="BJ66" s="46" t="s">
        <v>0</v>
      </c>
    </row>
    <row r="67" spans="35:62" ht="39.950000000000003" hidden="1" customHeight="1" x14ac:dyDescent="0.25">
      <c r="AI67" s="20">
        <f t="shared" ca="1" si="169"/>
        <v>236113.12789544958</v>
      </c>
      <c r="AJ67" s="20">
        <f t="shared" si="170"/>
        <v>40830</v>
      </c>
      <c r="AK67" s="20">
        <f t="shared" ca="1" si="181"/>
        <v>195283.12789544958</v>
      </c>
      <c r="AL67" s="20">
        <f t="shared" ca="1" si="171"/>
        <v>-1482.1989407264623</v>
      </c>
      <c r="AM67" s="20">
        <f t="shared" ca="1" si="182"/>
        <v>236113.12789544958</v>
      </c>
      <c r="AN67" s="20">
        <f t="shared" si="172"/>
        <v>4108</v>
      </c>
      <c r="AO67" s="20">
        <f t="shared" ca="1" si="173"/>
        <v>232005.12789544958</v>
      </c>
      <c r="AP67" s="20">
        <f t="shared" ca="1" si="183"/>
        <v>-32480.717905362944</v>
      </c>
      <c r="AQ67" s="20">
        <f t="shared" ca="1" si="184"/>
        <v>-2320.051278954496</v>
      </c>
      <c r="AR67" s="20">
        <f t="shared" ca="1" si="174"/>
        <v>201312.35871113214</v>
      </c>
      <c r="AS67" s="20">
        <f t="shared" si="175"/>
        <v>7246.2</v>
      </c>
      <c r="AT67" s="20">
        <f t="shared" ca="1" si="185"/>
        <v>194066.15871113213</v>
      </c>
      <c r="AU67" s="20">
        <f ca="1">SUM($AT$59:AT67)</f>
        <v>1069280.3558458227</v>
      </c>
      <c r="AV67" s="42">
        <f t="shared" ca="1" si="176"/>
        <v>0.27</v>
      </c>
      <c r="AW67" s="34">
        <f t="shared" ca="1" si="186"/>
        <v>0</v>
      </c>
      <c r="AX67" s="44">
        <f t="shared" ca="1" si="177"/>
        <v>0.27</v>
      </c>
      <c r="AY67" s="20">
        <f t="shared" ca="1" si="188"/>
        <v>-52397.86</v>
      </c>
      <c r="AZ67" s="20">
        <f t="shared" ca="1" si="178"/>
        <v>-46782.76</v>
      </c>
      <c r="BA67" s="44">
        <f t="shared" ca="1" si="179"/>
        <v>0.72241</v>
      </c>
      <c r="BB67" s="44">
        <f t="shared" si="187"/>
        <v>0.84240999999999999</v>
      </c>
      <c r="BC67" s="44">
        <f t="shared" ca="1" si="180"/>
        <v>0.61290999999999995</v>
      </c>
      <c r="BH67" s="19">
        <v>65</v>
      </c>
      <c r="BI67" s="23">
        <v>32.5</v>
      </c>
      <c r="BJ67" s="46" t="s">
        <v>0</v>
      </c>
    </row>
    <row r="68" spans="35:62" ht="39.950000000000003" hidden="1" customHeight="1" x14ac:dyDescent="0.25">
      <c r="AI68" s="20">
        <f t="shared" ca="1" si="169"/>
        <v>133424.80789544957</v>
      </c>
      <c r="AJ68" s="20">
        <f t="shared" si="170"/>
        <v>40830</v>
      </c>
      <c r="AK68" s="20">
        <f t="shared" ca="1" si="181"/>
        <v>92594.807895449572</v>
      </c>
      <c r="AL68" s="20">
        <f t="shared" ca="1" si="171"/>
        <v>-702.79459192646232</v>
      </c>
      <c r="AM68" s="20">
        <f t="shared" ca="1" si="182"/>
        <v>133424.80789544957</v>
      </c>
      <c r="AN68" s="20">
        <f t="shared" si="172"/>
        <v>4108</v>
      </c>
      <c r="AO68" s="20">
        <f t="shared" ca="1" si="173"/>
        <v>129316.80789544957</v>
      </c>
      <c r="AP68" s="20">
        <f t="shared" ca="1" si="183"/>
        <v>-18104.353105362941</v>
      </c>
      <c r="AQ68" s="20">
        <f t="shared" ca="1" si="184"/>
        <v>-1293.1680789544957</v>
      </c>
      <c r="AR68" s="20">
        <f t="shared" ca="1" si="174"/>
        <v>114027.28671113214</v>
      </c>
      <c r="AS68" s="20">
        <f t="shared" si="175"/>
        <v>7246.2</v>
      </c>
      <c r="AT68" s="20">
        <f t="shared" ca="1" si="185"/>
        <v>106781.08671113214</v>
      </c>
      <c r="AU68" s="20">
        <f ca="1">SUM($AT$59:AT68)</f>
        <v>1176061.4425569549</v>
      </c>
      <c r="AV68" s="42">
        <f t="shared" ca="1" si="176"/>
        <v>0.27</v>
      </c>
      <c r="AW68" s="34">
        <f t="shared" ca="1" si="186"/>
        <v>0</v>
      </c>
      <c r="AX68" s="44">
        <f t="shared" ca="1" si="177"/>
        <v>0.27</v>
      </c>
      <c r="AY68" s="20">
        <f t="shared" ca="1" si="188"/>
        <v>-28830.89</v>
      </c>
      <c r="AZ68" s="20">
        <f t="shared" ca="1" si="178"/>
        <v>-23215.79</v>
      </c>
      <c r="BA68" s="44">
        <f t="shared" ca="1" si="179"/>
        <v>0.72241</v>
      </c>
      <c r="BB68" s="44">
        <f t="shared" si="187"/>
        <v>0.84240999999999999</v>
      </c>
      <c r="BC68" s="44">
        <f t="shared" ca="1" si="180"/>
        <v>0.61290999999999995</v>
      </c>
      <c r="BH68" s="19">
        <v>66</v>
      </c>
      <c r="BI68" s="23">
        <v>33</v>
      </c>
      <c r="BJ68" s="46" t="s">
        <v>0</v>
      </c>
    </row>
    <row r="69" spans="35:62" ht="39.950000000000003" hidden="1" customHeight="1" x14ac:dyDescent="0.25">
      <c r="AI69" s="20">
        <f t="shared" ca="1" si="169"/>
        <v>133424.80789544957</v>
      </c>
      <c r="AJ69" s="20">
        <f t="shared" si="170"/>
        <v>40830</v>
      </c>
      <c r="AK69" s="20">
        <f t="shared" ca="1" si="181"/>
        <v>92594.807895449572</v>
      </c>
      <c r="AL69" s="20">
        <f t="shared" ca="1" si="171"/>
        <v>-702.79459192646232</v>
      </c>
      <c r="AM69" s="20">
        <f t="shared" ca="1" si="182"/>
        <v>133424.80789544957</v>
      </c>
      <c r="AN69" s="20">
        <f t="shared" si="172"/>
        <v>4108</v>
      </c>
      <c r="AO69" s="20">
        <f t="shared" ca="1" si="173"/>
        <v>129316.80789544957</v>
      </c>
      <c r="AP69" s="20">
        <f t="shared" ca="1" si="183"/>
        <v>-18104.353105362941</v>
      </c>
      <c r="AQ69" s="20">
        <f t="shared" ca="1" si="184"/>
        <v>-1293.1680789544957</v>
      </c>
      <c r="AR69" s="20">
        <f t="shared" ca="1" si="174"/>
        <v>114027.28671113214</v>
      </c>
      <c r="AS69" s="20">
        <f t="shared" si="175"/>
        <v>7246.2</v>
      </c>
      <c r="AT69" s="20">
        <f t="shared" ca="1" si="185"/>
        <v>106781.08671113214</v>
      </c>
      <c r="AU69" s="20">
        <f ca="1">SUM($AT$59:AT69)</f>
        <v>1282842.5292680871</v>
      </c>
      <c r="AV69" s="42">
        <f t="shared" ca="1" si="176"/>
        <v>0.27</v>
      </c>
      <c r="AW69" s="34">
        <f t="shared" ca="1" si="186"/>
        <v>0</v>
      </c>
      <c r="AX69" s="44">
        <f t="shared" ca="1" si="177"/>
        <v>0.27</v>
      </c>
      <c r="AY69" s="20">
        <f t="shared" ca="1" si="188"/>
        <v>-28830.89</v>
      </c>
      <c r="AZ69" s="20">
        <f t="shared" ca="1" si="178"/>
        <v>-23215.79</v>
      </c>
      <c r="BA69" s="44">
        <f t="shared" ca="1" si="179"/>
        <v>0.72241</v>
      </c>
      <c r="BB69" s="44">
        <f t="shared" si="187"/>
        <v>0.84240999999999999</v>
      </c>
      <c r="BC69" s="44">
        <f t="shared" ca="1" si="180"/>
        <v>0.61290999999999995</v>
      </c>
      <c r="BH69" s="19">
        <v>67</v>
      </c>
      <c r="BI69" s="23">
        <v>33.5</v>
      </c>
      <c r="BJ69" s="46" t="s">
        <v>0</v>
      </c>
    </row>
    <row r="70" spans="35:62" ht="39.950000000000003" hidden="1" customHeight="1" x14ac:dyDescent="0.25">
      <c r="AI70" s="20">
        <f t="shared" ca="1" si="169"/>
        <v>245892.9678954496</v>
      </c>
      <c r="AJ70" s="20">
        <f t="shared" si="170"/>
        <v>40830</v>
      </c>
      <c r="AK70" s="20">
        <f t="shared" ca="1" si="181"/>
        <v>205062.9678954496</v>
      </c>
      <c r="AL70" s="20">
        <f t="shared" ca="1" si="171"/>
        <v>-1556.4279263264625</v>
      </c>
      <c r="AM70" s="20">
        <f t="shared" ca="1" si="182"/>
        <v>245892.9678954496</v>
      </c>
      <c r="AN70" s="20">
        <f t="shared" si="172"/>
        <v>4108</v>
      </c>
      <c r="AO70" s="20">
        <f t="shared" ca="1" si="173"/>
        <v>241784.9678954496</v>
      </c>
      <c r="AP70" s="20">
        <f t="shared" ca="1" si="183"/>
        <v>-33849.895505362947</v>
      </c>
      <c r="AQ70" s="20">
        <f t="shared" ca="1" si="184"/>
        <v>-2417.8496789544961</v>
      </c>
      <c r="AR70" s="20">
        <f t="shared" ca="1" si="174"/>
        <v>209625.22271113217</v>
      </c>
      <c r="AS70" s="20">
        <f t="shared" si="175"/>
        <v>7246.2</v>
      </c>
      <c r="AT70" s="20">
        <f t="shared" ca="1" si="185"/>
        <v>202379.02271113216</v>
      </c>
      <c r="AU70" s="20">
        <f ca="1">SUM($AT$59:AT70)</f>
        <v>1485221.5519792193</v>
      </c>
      <c r="AV70" s="42">
        <f t="shared" ca="1" si="176"/>
        <v>0.27</v>
      </c>
      <c r="AW70" s="34">
        <f t="shared" ca="1" si="186"/>
        <v>0</v>
      </c>
      <c r="AX70" s="44">
        <f t="shared" ca="1" si="177"/>
        <v>0.27</v>
      </c>
      <c r="AY70" s="20">
        <f t="shared" ca="1" si="188"/>
        <v>-54642.34</v>
      </c>
      <c r="AZ70" s="20">
        <f t="shared" ca="1" si="178"/>
        <v>-49027.24</v>
      </c>
      <c r="BA70" s="44">
        <f t="shared" ca="1" si="179"/>
        <v>0.72241</v>
      </c>
      <c r="BB70" s="44">
        <f t="shared" si="187"/>
        <v>0.84240999999999999</v>
      </c>
      <c r="BC70" s="44">
        <f t="shared" ca="1" si="180"/>
        <v>0.61290999999999995</v>
      </c>
      <c r="BH70" s="19">
        <v>68</v>
      </c>
      <c r="BI70" s="23">
        <v>34</v>
      </c>
      <c r="BJ70" s="46" t="s">
        <v>0</v>
      </c>
    </row>
    <row r="71" spans="35:62" ht="39.950000000000003" hidden="1" customHeight="1" x14ac:dyDescent="0.25">
      <c r="AI71" s="20">
        <f t="shared" ref="AI71:AJ71" ca="1" si="189">(AI59+AI60+AI61+AI62+AI63+AI64+AI65+AI66+AI67+AI68+AI69+AI70)</f>
        <v>1840919.4729167284</v>
      </c>
      <c r="AJ71" s="20">
        <f t="shared" si="189"/>
        <v>489960</v>
      </c>
      <c r="AK71" s="20">
        <f t="shared" ref="AK71" ca="1" si="190">(AK59+AK60+AK61+AK62+AK63+AK64+AK65+AK66+AK67+AK68+AK69+AK70)</f>
        <v>1350959.4729167284</v>
      </c>
      <c r="AL71" s="20">
        <f t="shared" ref="AL71" ca="1" si="191">(AL59+AL60+AL61+AL62+AL63+AL64+AL65+AL66+AL67+AL68+AL69+AL70)</f>
        <v>-10253.782399437969</v>
      </c>
      <c r="AM71" s="20">
        <f t="shared" ref="AM71" ca="1" si="192">(AM59+AM60+AM61+AM62+AM63+AM64+AM65+AM66+AM67+AM68+AM69+AM70)</f>
        <v>1840919.4729167284</v>
      </c>
      <c r="AN71" s="20">
        <f t="shared" ref="AN71" si="193">(AN59+AN60+AN61+AN62+AN63+AN64+AN65+AN66+AN67+AN68+AN69+AN70)</f>
        <v>49296</v>
      </c>
      <c r="AO71" s="20">
        <f t="shared" ref="AO71" ca="1" si="194">(AO59+AO60+AO61+AO62+AO63+AO64+AO65+AO66+AO67+AO68+AO69+AO70)</f>
        <v>1791623.4729167284</v>
      </c>
      <c r="AP71" s="20">
        <f t="shared" ref="AP71" ca="1" si="195">(AP59+AP60+AP61+AP62+AP63+AP64+AP65+AP66+AP67+AP68+AP69+AP70)</f>
        <v>-250827.28620834203</v>
      </c>
      <c r="AQ71" s="20">
        <f t="shared" ref="AQ71" ca="1" si="196">(AQ59+AQ60+AQ61+AQ62+AQ63+AQ64+AQ65+AQ66+AQ67+AQ68+AQ69+AQ70)</f>
        <v>-17916.234729167285</v>
      </c>
      <c r="AR71" s="20">
        <f t="shared" ref="AR71:AT71" ca="1" si="197">(AR59+AR60+AR61+AR62+AR63+AR64+AR65+AR66+AR67+AR68+AR69+AR70)</f>
        <v>1572175.9519792192</v>
      </c>
      <c r="AS71" s="20">
        <f t="shared" ref="AS71" si="198">(AS59+AS60+AS61+AS62+AS63+AS64+AS65+AS66+AS67+AS68+AS69+AS70)</f>
        <v>86954.39999999998</v>
      </c>
      <c r="AT71" s="20">
        <f t="shared" ca="1" si="197"/>
        <v>1485221.5519792193</v>
      </c>
      <c r="AU71" s="25" t="s">
        <v>0</v>
      </c>
      <c r="AV71" s="19" t="s">
        <v>0</v>
      </c>
      <c r="AW71" s="19" t="s">
        <v>0</v>
      </c>
      <c r="AX71" s="22">
        <f t="shared" ref="AX71:AY71" ca="1" si="199">(AX59+AX60+AX61+AX62+AX63+AX64+AX65+AX66+AX67+AX68+AX69+AX70)</f>
        <v>2.8640546095221722</v>
      </c>
      <c r="AY71" s="20">
        <f t="shared" ca="1" si="199"/>
        <v>-363509.80999999994</v>
      </c>
      <c r="AZ71" s="20">
        <f t="shared" ref="AZ71" ca="1" si="200">(AZ59+AZ60+AZ61+AZ62+AZ63+AZ64+AZ65+AZ66+AZ67+AZ68+AZ69+AZ70)</f>
        <v>-305628.58</v>
      </c>
      <c r="BA71" s="19" t="s">
        <v>0</v>
      </c>
      <c r="BB71" s="19" t="s">
        <v>0</v>
      </c>
      <c r="BC71" s="19" t="s">
        <v>0</v>
      </c>
      <c r="BH71" s="19">
        <v>69</v>
      </c>
      <c r="BI71" s="23">
        <v>34.5</v>
      </c>
      <c r="BJ71" s="46" t="s">
        <v>0</v>
      </c>
    </row>
    <row r="72" spans="35:62" ht="39.950000000000003" hidden="1" customHeight="1" x14ac:dyDescent="0.25">
      <c r="AI72" s="20">
        <f t="shared" ref="AI72:AJ72" ca="1" si="201">(AI71/12)</f>
        <v>153409.95607639404</v>
      </c>
      <c r="AJ72" s="20">
        <f t="shared" si="201"/>
        <v>40830</v>
      </c>
      <c r="AK72" s="20">
        <f t="shared" ref="AK72" ca="1" si="202">(AK71/12)</f>
        <v>112579.95607639402</v>
      </c>
      <c r="AL72" s="20">
        <f t="shared" ref="AL72" ca="1" si="203">(AL71/12)</f>
        <v>-854.48186661983073</v>
      </c>
      <c r="AM72" s="20">
        <f t="shared" ref="AM72" ca="1" si="204">(AM71/12)</f>
        <v>153409.95607639404</v>
      </c>
      <c r="AN72" s="20">
        <f t="shared" ref="AN72" si="205">(AN71/12)</f>
        <v>4108</v>
      </c>
      <c r="AO72" s="20">
        <f t="shared" ref="AO72" ca="1" si="206">(AO71/12)</f>
        <v>149301.95607639404</v>
      </c>
      <c r="AP72" s="20">
        <f t="shared" ref="AP72" ca="1" si="207">(AP71/12)</f>
        <v>-20902.273850695168</v>
      </c>
      <c r="AQ72" s="20">
        <f t="shared" ref="AQ72" ca="1" si="208">(AQ71/12)</f>
        <v>-1493.0195607639405</v>
      </c>
      <c r="AR72" s="20">
        <f t="shared" ref="AR72:AT72" ca="1" si="209">(AR71/12)</f>
        <v>131014.66266493493</v>
      </c>
      <c r="AS72" s="20">
        <f t="shared" ref="AS72" si="210">(AS71/12)</f>
        <v>7246.199999999998</v>
      </c>
      <c r="AT72" s="20">
        <f t="shared" ca="1" si="209"/>
        <v>123768.46266493494</v>
      </c>
      <c r="AU72" s="25" t="s">
        <v>0</v>
      </c>
      <c r="AV72" s="25" t="s">
        <v>0</v>
      </c>
      <c r="AW72" s="25" t="s">
        <v>0</v>
      </c>
      <c r="AX72" s="22">
        <f t="shared" ref="AX72:AY72" ca="1" si="211">(AX71/12)</f>
        <v>0.23867121746018102</v>
      </c>
      <c r="AY72" s="20">
        <f t="shared" ca="1" si="211"/>
        <v>-30292.484166666662</v>
      </c>
      <c r="AZ72" s="20">
        <f t="shared" ref="AZ72" ca="1" si="212">(AZ71/12)</f>
        <v>-25469.048333333336</v>
      </c>
      <c r="BA72" s="25" t="s">
        <v>0</v>
      </c>
      <c r="BB72" s="25" t="s">
        <v>0</v>
      </c>
      <c r="BC72" s="25" t="s">
        <v>0</v>
      </c>
      <c r="BH72" s="19">
        <v>70</v>
      </c>
      <c r="BI72" s="23">
        <v>35</v>
      </c>
      <c r="BJ72" s="46" t="s">
        <v>0</v>
      </c>
    </row>
    <row r="73" spans="35:62" ht="39.950000000000003" hidden="1" customHeight="1" x14ac:dyDescent="0.25">
      <c r="BH73" s="19">
        <v>71</v>
      </c>
      <c r="BI73" s="23">
        <v>35.5</v>
      </c>
      <c r="BJ73" s="46" t="s">
        <v>0</v>
      </c>
    </row>
    <row r="74" spans="35:62" ht="39.950000000000003" hidden="1" customHeight="1" x14ac:dyDescent="0.25">
      <c r="BH74" s="19">
        <v>72</v>
      </c>
      <c r="BI74" s="23">
        <v>36</v>
      </c>
      <c r="BJ74" s="46" t="s">
        <v>0</v>
      </c>
    </row>
    <row r="75" spans="35:62" ht="39.950000000000003" hidden="1" customHeight="1" x14ac:dyDescent="0.25">
      <c r="BH75" s="19">
        <v>73</v>
      </c>
      <c r="BI75" s="23">
        <v>36.5</v>
      </c>
      <c r="BJ75" s="46" t="s">
        <v>0</v>
      </c>
    </row>
    <row r="76" spans="35:62" ht="39.950000000000003" hidden="1" customHeight="1" x14ac:dyDescent="0.25">
      <c r="BH76" s="19">
        <v>74</v>
      </c>
      <c r="BI76" s="23">
        <v>37</v>
      </c>
      <c r="BJ76" s="46" t="s">
        <v>0</v>
      </c>
    </row>
    <row r="77" spans="35:62" ht="39.950000000000003" hidden="1" customHeight="1" x14ac:dyDescent="0.25">
      <c r="BH77" s="19">
        <v>75</v>
      </c>
      <c r="BI77" s="23">
        <v>37.5</v>
      </c>
      <c r="BJ77" s="46" t="s">
        <v>0</v>
      </c>
    </row>
    <row r="78" spans="35:62" ht="39.950000000000003" hidden="1" customHeight="1" x14ac:dyDescent="0.25">
      <c r="BH78" s="19">
        <v>76</v>
      </c>
      <c r="BI78" s="23">
        <v>38</v>
      </c>
      <c r="BJ78" s="46" t="s">
        <v>0</v>
      </c>
    </row>
    <row r="79" spans="35:62" ht="39.950000000000003" hidden="1" customHeight="1" x14ac:dyDescent="0.25">
      <c r="BH79" s="19">
        <v>77</v>
      </c>
      <c r="BI79" s="23">
        <v>38.5</v>
      </c>
      <c r="BJ79" s="46" t="s">
        <v>0</v>
      </c>
    </row>
    <row r="80" spans="35:62" ht="39.950000000000003" hidden="1" customHeight="1" x14ac:dyDescent="0.25">
      <c r="BH80" s="19">
        <v>78</v>
      </c>
      <c r="BI80" s="23">
        <v>39</v>
      </c>
      <c r="BJ80" s="46" t="s">
        <v>0</v>
      </c>
    </row>
    <row r="81" spans="60:62" ht="39.950000000000003" hidden="1" customHeight="1" x14ac:dyDescent="0.25">
      <c r="BH81" s="19">
        <v>79</v>
      </c>
      <c r="BI81" s="23">
        <v>39.5</v>
      </c>
      <c r="BJ81" s="46" t="s">
        <v>0</v>
      </c>
    </row>
    <row r="82" spans="60:62" ht="39.950000000000003" hidden="1" customHeight="1" x14ac:dyDescent="0.25">
      <c r="BH82" s="19">
        <v>80</v>
      </c>
      <c r="BI82" s="23">
        <v>40</v>
      </c>
      <c r="BJ82" s="46" t="s">
        <v>0</v>
      </c>
    </row>
    <row r="83" spans="60:62" ht="39.950000000000003" hidden="1" customHeight="1" x14ac:dyDescent="0.25">
      <c r="BH83" s="19">
        <v>81</v>
      </c>
      <c r="BI83" s="23">
        <v>40.5</v>
      </c>
      <c r="BJ83" s="46" t="s">
        <v>0</v>
      </c>
    </row>
    <row r="84" spans="60:62" ht="39.950000000000003" hidden="1" customHeight="1" x14ac:dyDescent="0.25">
      <c r="BH84" s="19">
        <v>82</v>
      </c>
      <c r="BI84" s="23">
        <v>41</v>
      </c>
      <c r="BJ84" s="46" t="s">
        <v>0</v>
      </c>
    </row>
    <row r="85" spans="60:62" ht="39.950000000000003" hidden="1" customHeight="1" x14ac:dyDescent="0.25">
      <c r="BH85" s="19">
        <v>83</v>
      </c>
      <c r="BI85" s="23">
        <v>41.5</v>
      </c>
      <c r="BJ85" s="46" t="s">
        <v>0</v>
      </c>
    </row>
    <row r="86" spans="60:62" ht="39.950000000000003" hidden="1" customHeight="1" x14ac:dyDescent="0.25">
      <c r="BH86" s="19">
        <v>84</v>
      </c>
      <c r="BI86" s="23">
        <v>42</v>
      </c>
      <c r="BJ86" s="46" t="s">
        <v>0</v>
      </c>
    </row>
    <row r="87" spans="60:62" ht="39.950000000000003" hidden="1" customHeight="1" x14ac:dyDescent="0.25">
      <c r="BH87" s="19">
        <v>85</v>
      </c>
      <c r="BI87" s="23">
        <v>42.5</v>
      </c>
      <c r="BJ87" s="46" t="s">
        <v>0</v>
      </c>
    </row>
    <row r="88" spans="60:62" ht="39.950000000000003" hidden="1" customHeight="1" x14ac:dyDescent="0.25">
      <c r="BH88" s="19">
        <v>86</v>
      </c>
      <c r="BI88" s="23">
        <v>43</v>
      </c>
      <c r="BJ88" s="46" t="s">
        <v>0</v>
      </c>
    </row>
    <row r="89" spans="60:62" ht="39.950000000000003" hidden="1" customHeight="1" x14ac:dyDescent="0.25">
      <c r="BH89" s="19">
        <v>87</v>
      </c>
      <c r="BI89" s="23">
        <v>43.5</v>
      </c>
      <c r="BJ89" s="46" t="s">
        <v>0</v>
      </c>
    </row>
    <row r="90" spans="60:62" ht="39.950000000000003" hidden="1" customHeight="1" x14ac:dyDescent="0.25">
      <c r="BH90" s="19">
        <v>88</v>
      </c>
      <c r="BI90" s="23">
        <v>44</v>
      </c>
      <c r="BJ90" s="46" t="s">
        <v>0</v>
      </c>
    </row>
    <row r="91" spans="60:62" ht="39.950000000000003" hidden="1" customHeight="1" x14ac:dyDescent="0.25">
      <c r="BH91" s="19">
        <v>89</v>
      </c>
      <c r="BI91" s="23">
        <v>44.5</v>
      </c>
      <c r="BJ91" s="46" t="s">
        <v>0</v>
      </c>
    </row>
    <row r="92" spans="60:62" ht="39.950000000000003" hidden="1" customHeight="1" x14ac:dyDescent="0.25">
      <c r="BH92" s="19">
        <v>90</v>
      </c>
      <c r="BI92" s="23">
        <v>45</v>
      </c>
      <c r="BJ92" s="46" t="s">
        <v>0</v>
      </c>
    </row>
    <row r="93" spans="60:62" ht="39.950000000000003" hidden="1" customHeight="1" x14ac:dyDescent="0.25">
      <c r="BH93" s="19">
        <v>91</v>
      </c>
      <c r="BI93" s="23">
        <v>45.5</v>
      </c>
      <c r="BJ93" s="46" t="s">
        <v>0</v>
      </c>
    </row>
    <row r="94" spans="60:62" ht="39.950000000000003" hidden="1" customHeight="1" x14ac:dyDescent="0.25">
      <c r="BH94" s="19">
        <v>92</v>
      </c>
      <c r="BI94" s="23">
        <v>46</v>
      </c>
      <c r="BJ94" s="46" t="s">
        <v>0</v>
      </c>
    </row>
    <row r="95" spans="60:62" ht="39.950000000000003" hidden="1" customHeight="1" x14ac:dyDescent="0.25">
      <c r="BH95" s="19">
        <v>93</v>
      </c>
      <c r="BI95" s="23">
        <v>46.5</v>
      </c>
      <c r="BJ95" s="46" t="s">
        <v>0</v>
      </c>
    </row>
    <row r="96" spans="60:62" ht="39.950000000000003" hidden="1" customHeight="1" x14ac:dyDescent="0.25">
      <c r="BH96" s="19">
        <v>94</v>
      </c>
      <c r="BI96" s="23">
        <v>47</v>
      </c>
      <c r="BJ96" s="46" t="s">
        <v>0</v>
      </c>
    </row>
    <row r="97" spans="60:62" ht="39.950000000000003" hidden="1" customHeight="1" x14ac:dyDescent="0.25">
      <c r="BH97" s="19">
        <v>95</v>
      </c>
      <c r="BI97" s="23">
        <v>47.5</v>
      </c>
      <c r="BJ97" s="46" t="s">
        <v>0</v>
      </c>
    </row>
    <row r="98" spans="60:62" ht="39.950000000000003" hidden="1" customHeight="1" x14ac:dyDescent="0.25">
      <c r="BH98" s="19">
        <v>96</v>
      </c>
      <c r="BI98" s="23">
        <v>48</v>
      </c>
      <c r="BJ98" s="46" t="s">
        <v>0</v>
      </c>
    </row>
    <row r="99" spans="60:62" ht="39.950000000000003" hidden="1" customHeight="1" x14ac:dyDescent="0.25">
      <c r="BH99" s="19">
        <v>97</v>
      </c>
      <c r="BI99" s="23">
        <v>48.5</v>
      </c>
      <c r="BJ99" s="46" t="s">
        <v>0</v>
      </c>
    </row>
    <row r="100" spans="60:62" ht="39.950000000000003" hidden="1" customHeight="1" x14ac:dyDescent="0.25">
      <c r="BH100" s="19">
        <v>98</v>
      </c>
      <c r="BI100" s="23">
        <v>49</v>
      </c>
      <c r="BJ100" s="46" t="s">
        <v>0</v>
      </c>
    </row>
    <row r="101" spans="60:62" ht="39.950000000000003" hidden="1" customHeight="1" x14ac:dyDescent="0.25">
      <c r="BH101" s="19">
        <v>99</v>
      </c>
      <c r="BI101" s="23">
        <v>49.5</v>
      </c>
      <c r="BJ101" s="46" t="s">
        <v>0</v>
      </c>
    </row>
    <row r="102" spans="60:62" ht="39.950000000000003" hidden="1" customHeight="1" x14ac:dyDescent="0.25">
      <c r="BH102" s="19">
        <v>100</v>
      </c>
      <c r="BI102" s="23">
        <v>50</v>
      </c>
      <c r="BJ102" s="46" t="s">
        <v>0</v>
      </c>
    </row>
    <row r="103" spans="60:62" ht="39.950000000000003" hidden="1" customHeight="1" x14ac:dyDescent="0.25">
      <c r="BH103" s="19">
        <v>101</v>
      </c>
      <c r="BI103" s="23">
        <v>50.5</v>
      </c>
      <c r="BJ103" s="46" t="s">
        <v>0</v>
      </c>
    </row>
    <row r="104" spans="60:62" ht="39.950000000000003" hidden="1" customHeight="1" x14ac:dyDescent="0.25">
      <c r="BH104" s="19">
        <v>102</v>
      </c>
      <c r="BI104" s="23">
        <v>51</v>
      </c>
      <c r="BJ104" s="46" t="s">
        <v>0</v>
      </c>
    </row>
    <row r="105" spans="60:62" ht="39.950000000000003" hidden="1" customHeight="1" x14ac:dyDescent="0.25">
      <c r="BH105" s="19">
        <v>103</v>
      </c>
      <c r="BI105" s="23">
        <v>51.5</v>
      </c>
      <c r="BJ105" s="46" t="s">
        <v>0</v>
      </c>
    </row>
    <row r="106" spans="60:62" ht="39.950000000000003" hidden="1" customHeight="1" x14ac:dyDescent="0.25">
      <c r="BH106" s="19">
        <v>104</v>
      </c>
      <c r="BI106" s="23">
        <v>52</v>
      </c>
      <c r="BJ106" s="46" t="s">
        <v>0</v>
      </c>
    </row>
    <row r="107" spans="60:62" ht="39.950000000000003" hidden="1" customHeight="1" x14ac:dyDescent="0.25">
      <c r="BH107" s="19">
        <v>105</v>
      </c>
      <c r="BI107" s="23">
        <v>52.5</v>
      </c>
      <c r="BJ107" s="46" t="s">
        <v>0</v>
      </c>
    </row>
    <row r="108" spans="60:62" ht="39.950000000000003" hidden="1" customHeight="1" x14ac:dyDescent="0.25">
      <c r="BH108" s="19">
        <v>106</v>
      </c>
      <c r="BI108" s="23">
        <v>53</v>
      </c>
      <c r="BJ108" s="46" t="s">
        <v>0</v>
      </c>
    </row>
    <row r="109" spans="60:62" ht="39.950000000000003" hidden="1" customHeight="1" x14ac:dyDescent="0.25">
      <c r="BH109" s="19">
        <v>107</v>
      </c>
      <c r="BI109" s="23">
        <v>53.5</v>
      </c>
      <c r="BJ109" s="46" t="s">
        <v>0</v>
      </c>
    </row>
    <row r="110" spans="60:62" ht="39.950000000000003" hidden="1" customHeight="1" x14ac:dyDescent="0.25">
      <c r="BH110" s="19">
        <v>108</v>
      </c>
      <c r="BI110" s="23">
        <v>54</v>
      </c>
      <c r="BJ110" s="46" t="s">
        <v>0</v>
      </c>
    </row>
    <row r="111" spans="60:62" ht="39.950000000000003" hidden="1" customHeight="1" x14ac:dyDescent="0.25">
      <c r="BH111" s="19">
        <v>109</v>
      </c>
      <c r="BI111" s="23">
        <v>54.5</v>
      </c>
      <c r="BJ111" s="46" t="s">
        <v>0</v>
      </c>
    </row>
    <row r="112" spans="60:62" ht="39.950000000000003" hidden="1" customHeight="1" x14ac:dyDescent="0.25">
      <c r="BH112" s="19">
        <v>110</v>
      </c>
      <c r="BI112" s="23">
        <v>55</v>
      </c>
      <c r="BJ112" s="46" t="s">
        <v>0</v>
      </c>
    </row>
    <row r="113" spans="60:62" ht="39.950000000000003" hidden="1" customHeight="1" x14ac:dyDescent="0.25">
      <c r="BH113" s="19">
        <v>111</v>
      </c>
      <c r="BI113" s="23">
        <v>55.5</v>
      </c>
      <c r="BJ113" s="46" t="s">
        <v>0</v>
      </c>
    </row>
    <row r="114" spans="60:62" ht="39.950000000000003" hidden="1" customHeight="1" x14ac:dyDescent="0.25">
      <c r="BH114" s="19">
        <v>112</v>
      </c>
      <c r="BI114" s="23">
        <v>56</v>
      </c>
      <c r="BJ114" s="46" t="s">
        <v>0</v>
      </c>
    </row>
    <row r="115" spans="60:62" ht="39.950000000000003" hidden="1" customHeight="1" x14ac:dyDescent="0.25">
      <c r="BH115" s="19">
        <v>113</v>
      </c>
      <c r="BI115" s="23">
        <v>56.5</v>
      </c>
      <c r="BJ115" s="46" t="s">
        <v>0</v>
      </c>
    </row>
    <row r="116" spans="60:62" ht="39.950000000000003" hidden="1" customHeight="1" x14ac:dyDescent="0.25">
      <c r="BH116" s="19">
        <v>114</v>
      </c>
      <c r="BI116" s="23">
        <v>57</v>
      </c>
      <c r="BJ116" s="46" t="s">
        <v>0</v>
      </c>
    </row>
    <row r="117" spans="60:62" ht="39.950000000000003" hidden="1" customHeight="1" x14ac:dyDescent="0.25">
      <c r="BH117" s="19">
        <v>115</v>
      </c>
      <c r="BI117" s="23">
        <v>57.5</v>
      </c>
      <c r="BJ117" s="46" t="s">
        <v>0</v>
      </c>
    </row>
    <row r="118" spans="60:62" ht="39.950000000000003" hidden="1" customHeight="1" x14ac:dyDescent="0.25">
      <c r="BH118" s="19">
        <v>116</v>
      </c>
      <c r="BI118" s="23">
        <v>58</v>
      </c>
      <c r="BJ118" s="46" t="s">
        <v>0</v>
      </c>
    </row>
    <row r="119" spans="60:62" ht="39.950000000000003" hidden="1" customHeight="1" x14ac:dyDescent="0.25">
      <c r="BH119" s="19">
        <v>117</v>
      </c>
      <c r="BI119" s="23">
        <v>58.5</v>
      </c>
      <c r="BJ119" s="46" t="s">
        <v>0</v>
      </c>
    </row>
    <row r="120" spans="60:62" ht="39.950000000000003" hidden="1" customHeight="1" x14ac:dyDescent="0.25">
      <c r="BH120" s="19">
        <v>118</v>
      </c>
      <c r="BI120" s="23">
        <v>59</v>
      </c>
      <c r="BJ120" s="46" t="s">
        <v>0</v>
      </c>
    </row>
    <row r="121" spans="60:62" ht="39.950000000000003" hidden="1" customHeight="1" x14ac:dyDescent="0.25">
      <c r="BH121" s="19">
        <v>119</v>
      </c>
      <c r="BI121" s="23">
        <v>59.5</v>
      </c>
      <c r="BJ121" s="46" t="s">
        <v>0</v>
      </c>
    </row>
    <row r="122" spans="60:62" ht="39.950000000000003" hidden="1" customHeight="1" x14ac:dyDescent="0.25">
      <c r="BH122" s="19">
        <v>120</v>
      </c>
      <c r="BI122" s="23">
        <v>60</v>
      </c>
      <c r="BJ122" s="46" t="s">
        <v>0</v>
      </c>
    </row>
    <row r="123" spans="60:62" ht="39.950000000000003" hidden="1" customHeight="1" x14ac:dyDescent="0.25">
      <c r="BH123" s="19">
        <v>121</v>
      </c>
      <c r="BI123" s="23">
        <v>60.5</v>
      </c>
      <c r="BJ123" s="46" t="s">
        <v>0</v>
      </c>
    </row>
    <row r="124" spans="60:62" ht="39.950000000000003" hidden="1" customHeight="1" x14ac:dyDescent="0.25">
      <c r="BH124" s="19">
        <v>122</v>
      </c>
      <c r="BI124" s="23">
        <v>61</v>
      </c>
      <c r="BJ124" s="46" t="s">
        <v>0</v>
      </c>
    </row>
    <row r="125" spans="60:62" ht="39.950000000000003" hidden="1" customHeight="1" x14ac:dyDescent="0.25">
      <c r="BH125" s="19">
        <v>123</v>
      </c>
      <c r="BI125" s="23">
        <v>61.5</v>
      </c>
      <c r="BJ125" s="46" t="s">
        <v>0</v>
      </c>
    </row>
    <row r="126" spans="60:62" ht="39.950000000000003" hidden="1" customHeight="1" x14ac:dyDescent="0.25">
      <c r="BH126" s="19">
        <v>124</v>
      </c>
      <c r="BI126" s="23">
        <v>62</v>
      </c>
      <c r="BJ126" s="46" t="s">
        <v>0</v>
      </c>
    </row>
    <row r="127" spans="60:62" ht="39.950000000000003" hidden="1" customHeight="1" x14ac:dyDescent="0.25">
      <c r="BH127" s="19">
        <v>125</v>
      </c>
      <c r="BI127" s="23">
        <v>62.5</v>
      </c>
      <c r="BJ127" s="46" t="s">
        <v>0</v>
      </c>
    </row>
    <row r="128" spans="60:62" ht="39.950000000000003" hidden="1" customHeight="1" x14ac:dyDescent="0.25">
      <c r="BH128" s="19">
        <v>126</v>
      </c>
      <c r="BI128" s="23">
        <v>63</v>
      </c>
      <c r="BJ128" s="46" t="s">
        <v>0</v>
      </c>
    </row>
    <row r="129" spans="60:62" ht="39.950000000000003" hidden="1" customHeight="1" x14ac:dyDescent="0.25">
      <c r="BH129" s="19">
        <v>127</v>
      </c>
      <c r="BI129" s="23">
        <v>63.5</v>
      </c>
      <c r="BJ129" s="46" t="s">
        <v>0</v>
      </c>
    </row>
    <row r="130" spans="60:62" ht="39.950000000000003" hidden="1" customHeight="1" x14ac:dyDescent="0.25">
      <c r="BH130" s="19">
        <v>128</v>
      </c>
      <c r="BI130" s="23">
        <v>64</v>
      </c>
      <c r="BJ130" s="46" t="s">
        <v>0</v>
      </c>
    </row>
    <row r="131" spans="60:62" ht="39.950000000000003" hidden="1" customHeight="1" x14ac:dyDescent="0.25">
      <c r="BH131" s="19">
        <v>129</v>
      </c>
      <c r="BI131" s="23">
        <v>64.5</v>
      </c>
      <c r="BJ131" s="46" t="s">
        <v>0</v>
      </c>
    </row>
    <row r="132" spans="60:62" ht="39.950000000000003" hidden="1" customHeight="1" x14ac:dyDescent="0.25">
      <c r="BH132" s="19">
        <v>130</v>
      </c>
      <c r="BI132" s="23">
        <v>65</v>
      </c>
      <c r="BJ132" s="46" t="s">
        <v>0</v>
      </c>
    </row>
    <row r="133" spans="60:62" ht="39.950000000000003" hidden="1" customHeight="1" x14ac:dyDescent="0.25">
      <c r="BH133" s="19">
        <v>131</v>
      </c>
      <c r="BI133" s="23">
        <v>65.5</v>
      </c>
      <c r="BJ133" s="46" t="s">
        <v>0</v>
      </c>
    </row>
    <row r="134" spans="60:62" ht="39.950000000000003" hidden="1" customHeight="1" x14ac:dyDescent="0.25">
      <c r="BH134" s="19">
        <v>132</v>
      </c>
      <c r="BI134" s="23">
        <v>66</v>
      </c>
      <c r="BJ134" s="46" t="s">
        <v>0</v>
      </c>
    </row>
    <row r="135" spans="60:62" ht="39.950000000000003" hidden="1" customHeight="1" x14ac:dyDescent="0.25">
      <c r="BH135" s="19">
        <v>133</v>
      </c>
      <c r="BI135" s="23">
        <v>66.5</v>
      </c>
      <c r="BJ135" s="46" t="s">
        <v>0</v>
      </c>
    </row>
    <row r="136" spans="60:62" ht="39.950000000000003" hidden="1" customHeight="1" x14ac:dyDescent="0.25">
      <c r="BH136" s="19">
        <v>134</v>
      </c>
      <c r="BI136" s="23">
        <v>67</v>
      </c>
      <c r="BJ136" s="46" t="s">
        <v>0</v>
      </c>
    </row>
    <row r="137" spans="60:62" ht="39.950000000000003" hidden="1" customHeight="1" x14ac:dyDescent="0.25">
      <c r="BH137" s="19">
        <v>135</v>
      </c>
      <c r="BI137" s="23">
        <v>67.5</v>
      </c>
      <c r="BJ137" s="46" t="s">
        <v>0</v>
      </c>
    </row>
    <row r="138" spans="60:62" ht="39.950000000000003" hidden="1" customHeight="1" x14ac:dyDescent="0.25">
      <c r="BH138" s="19">
        <v>136</v>
      </c>
      <c r="BI138" s="23">
        <v>68</v>
      </c>
      <c r="BJ138" s="46" t="s">
        <v>0</v>
      </c>
    </row>
    <row r="139" spans="60:62" ht="39.950000000000003" hidden="1" customHeight="1" x14ac:dyDescent="0.25">
      <c r="BH139" s="19">
        <v>137</v>
      </c>
      <c r="BI139" s="23">
        <v>68.5</v>
      </c>
      <c r="BJ139" s="46" t="s">
        <v>0</v>
      </c>
    </row>
    <row r="140" spans="60:62" ht="39.950000000000003" hidden="1" customHeight="1" x14ac:dyDescent="0.25">
      <c r="BH140" s="19">
        <v>138</v>
      </c>
      <c r="BI140" s="23">
        <v>69</v>
      </c>
      <c r="BJ140" s="46" t="s">
        <v>0</v>
      </c>
    </row>
    <row r="141" spans="60:62" ht="39.950000000000003" hidden="1" customHeight="1" x14ac:dyDescent="0.25">
      <c r="BH141" s="19">
        <v>139</v>
      </c>
      <c r="BI141" s="23">
        <v>69.5</v>
      </c>
      <c r="BJ141" s="46" t="s">
        <v>0</v>
      </c>
    </row>
    <row r="142" spans="60:62" ht="39.950000000000003" hidden="1" customHeight="1" x14ac:dyDescent="0.25">
      <c r="BH142" s="19">
        <v>140</v>
      </c>
      <c r="BI142" s="23">
        <v>70</v>
      </c>
      <c r="BJ142" s="46" t="s">
        <v>0</v>
      </c>
    </row>
    <row r="143" spans="60:62" ht="39.950000000000003" hidden="1" customHeight="1" x14ac:dyDescent="0.25">
      <c r="BH143" s="19">
        <v>141</v>
      </c>
      <c r="BI143" s="23">
        <v>70.5</v>
      </c>
      <c r="BJ143" s="46" t="s">
        <v>0</v>
      </c>
    </row>
    <row r="144" spans="60:62" ht="39.950000000000003" hidden="1" customHeight="1" x14ac:dyDescent="0.25">
      <c r="BH144" s="19">
        <v>142</v>
      </c>
      <c r="BI144" s="23">
        <v>71</v>
      </c>
      <c r="BJ144" s="46" t="s">
        <v>0</v>
      </c>
    </row>
    <row r="145" spans="60:62" ht="39.950000000000003" hidden="1" customHeight="1" x14ac:dyDescent="0.25">
      <c r="BH145" s="19">
        <v>143</v>
      </c>
      <c r="BI145" s="23">
        <v>71.5</v>
      </c>
      <c r="BJ145" s="46" t="s">
        <v>0</v>
      </c>
    </row>
    <row r="146" spans="60:62" ht="39.950000000000003" hidden="1" customHeight="1" x14ac:dyDescent="0.25">
      <c r="BH146" s="19">
        <v>144</v>
      </c>
      <c r="BI146" s="23">
        <v>72</v>
      </c>
      <c r="BJ146" s="46" t="s">
        <v>0</v>
      </c>
    </row>
    <row r="147" spans="60:62" ht="39.950000000000003" hidden="1" customHeight="1" x14ac:dyDescent="0.25">
      <c r="BH147" s="19">
        <v>145</v>
      </c>
      <c r="BI147" s="23">
        <v>72.5</v>
      </c>
      <c r="BJ147" s="46" t="s">
        <v>0</v>
      </c>
    </row>
    <row r="148" spans="60:62" ht="39.950000000000003" hidden="1" customHeight="1" x14ac:dyDescent="0.25">
      <c r="BH148" s="19">
        <v>146</v>
      </c>
      <c r="BI148" s="23">
        <v>73</v>
      </c>
      <c r="BJ148" s="46" t="s">
        <v>0</v>
      </c>
    </row>
    <row r="149" spans="60:62" ht="39.950000000000003" hidden="1" customHeight="1" x14ac:dyDescent="0.25">
      <c r="BH149" s="19">
        <v>147</v>
      </c>
      <c r="BI149" s="23">
        <v>73.5</v>
      </c>
      <c r="BJ149" s="46" t="s">
        <v>0</v>
      </c>
    </row>
    <row r="150" spans="60:62" ht="39.950000000000003" hidden="1" customHeight="1" x14ac:dyDescent="0.25">
      <c r="BH150" s="19">
        <v>148</v>
      </c>
      <c r="BI150" s="23">
        <v>74</v>
      </c>
      <c r="BJ150" s="46" t="s">
        <v>0</v>
      </c>
    </row>
    <row r="151" spans="60:62" ht="39.950000000000003" hidden="1" customHeight="1" x14ac:dyDescent="0.25">
      <c r="BH151" s="19">
        <v>149</v>
      </c>
      <c r="BI151" s="23">
        <v>74.5</v>
      </c>
      <c r="BJ151" s="46" t="s">
        <v>0</v>
      </c>
    </row>
    <row r="152" spans="60:62" ht="39.950000000000003" hidden="1" customHeight="1" x14ac:dyDescent="0.25">
      <c r="BH152" s="19">
        <v>150</v>
      </c>
      <c r="BI152" s="23">
        <v>75</v>
      </c>
      <c r="BJ152" s="46" t="s">
        <v>0</v>
      </c>
    </row>
    <row r="153" spans="60:62" ht="39.950000000000003" hidden="1" customHeight="1" x14ac:dyDescent="0.25">
      <c r="BH153" s="19">
        <v>151</v>
      </c>
      <c r="BI153" s="23">
        <v>75.5</v>
      </c>
      <c r="BJ153" s="46" t="s">
        <v>0</v>
      </c>
    </row>
    <row r="154" spans="60:62" ht="39.950000000000003" hidden="1" customHeight="1" x14ac:dyDescent="0.25">
      <c r="BH154" s="19">
        <v>152</v>
      </c>
      <c r="BI154" s="23">
        <v>76</v>
      </c>
      <c r="BJ154" s="46" t="s">
        <v>0</v>
      </c>
    </row>
    <row r="155" spans="60:62" ht="39.950000000000003" hidden="1" customHeight="1" x14ac:dyDescent="0.25">
      <c r="BH155" s="19">
        <v>153</v>
      </c>
      <c r="BI155" s="23">
        <v>76.5</v>
      </c>
      <c r="BJ155" s="46" t="s">
        <v>0</v>
      </c>
    </row>
    <row r="156" spans="60:62" ht="39.950000000000003" hidden="1" customHeight="1" x14ac:dyDescent="0.25">
      <c r="BH156" s="19">
        <v>154</v>
      </c>
      <c r="BI156" s="23">
        <v>77</v>
      </c>
      <c r="BJ156" s="46" t="s">
        <v>0</v>
      </c>
    </row>
    <row r="157" spans="60:62" ht="39.950000000000003" hidden="1" customHeight="1" x14ac:dyDescent="0.25">
      <c r="BH157" s="19">
        <v>155</v>
      </c>
      <c r="BI157" s="23">
        <v>77.5</v>
      </c>
      <c r="BJ157" s="46" t="s">
        <v>0</v>
      </c>
    </row>
    <row r="158" spans="60:62" ht="39.950000000000003" hidden="1" customHeight="1" x14ac:dyDescent="0.25">
      <c r="BH158" s="19">
        <v>156</v>
      </c>
      <c r="BI158" s="23">
        <v>78</v>
      </c>
      <c r="BJ158" s="46" t="s">
        <v>0</v>
      </c>
    </row>
    <row r="159" spans="60:62" ht="39.950000000000003" hidden="1" customHeight="1" x14ac:dyDescent="0.25">
      <c r="BH159" s="19">
        <v>157</v>
      </c>
      <c r="BI159" s="23">
        <v>78.5</v>
      </c>
      <c r="BJ159" s="46" t="s">
        <v>0</v>
      </c>
    </row>
    <row r="160" spans="60:62" ht="39.950000000000003" hidden="1" customHeight="1" x14ac:dyDescent="0.25">
      <c r="BH160" s="19">
        <v>158</v>
      </c>
      <c r="BI160" s="23">
        <v>79</v>
      </c>
      <c r="BJ160" s="46" t="s">
        <v>0</v>
      </c>
    </row>
    <row r="161" spans="60:62" ht="39.950000000000003" hidden="1" customHeight="1" x14ac:dyDescent="0.25">
      <c r="BH161" s="19">
        <v>159</v>
      </c>
      <c r="BI161" s="23">
        <v>79.5</v>
      </c>
      <c r="BJ161" s="46" t="s">
        <v>0</v>
      </c>
    </row>
    <row r="162" spans="60:62" ht="39.950000000000003" hidden="1" customHeight="1" x14ac:dyDescent="0.25">
      <c r="BH162" s="19">
        <v>160</v>
      </c>
      <c r="BI162" s="23">
        <v>80</v>
      </c>
      <c r="BJ162" s="46" t="s">
        <v>0</v>
      </c>
    </row>
    <row r="163" spans="60:62" ht="39.950000000000003" hidden="1" customHeight="1" x14ac:dyDescent="0.25">
      <c r="BH163" s="19">
        <v>161</v>
      </c>
      <c r="BI163" s="23">
        <v>80.5</v>
      </c>
      <c r="BJ163" s="46" t="s">
        <v>0</v>
      </c>
    </row>
    <row r="164" spans="60:62" ht="39.950000000000003" hidden="1" customHeight="1" x14ac:dyDescent="0.25">
      <c r="BH164" s="19">
        <v>162</v>
      </c>
      <c r="BI164" s="23">
        <v>81</v>
      </c>
      <c r="BJ164" s="46" t="s">
        <v>0</v>
      </c>
    </row>
    <row r="165" spans="60:62" ht="39.950000000000003" hidden="1" customHeight="1" x14ac:dyDescent="0.25">
      <c r="BH165" s="19">
        <v>163</v>
      </c>
      <c r="BI165" s="23">
        <v>81.5</v>
      </c>
      <c r="BJ165" s="46" t="s">
        <v>0</v>
      </c>
    </row>
    <row r="166" spans="60:62" ht="39.950000000000003" hidden="1" customHeight="1" x14ac:dyDescent="0.25">
      <c r="BH166" s="19">
        <v>164</v>
      </c>
      <c r="BI166" s="23">
        <v>82</v>
      </c>
      <c r="BJ166" s="46" t="s">
        <v>0</v>
      </c>
    </row>
    <row r="167" spans="60:62" ht="39.950000000000003" hidden="1" customHeight="1" x14ac:dyDescent="0.25">
      <c r="BH167" s="19">
        <v>165</v>
      </c>
      <c r="BI167" s="23">
        <v>82.5</v>
      </c>
      <c r="BJ167" s="46" t="s">
        <v>0</v>
      </c>
    </row>
    <row r="168" spans="60:62" ht="39.950000000000003" hidden="1" customHeight="1" x14ac:dyDescent="0.25">
      <c r="BH168" s="19">
        <v>166</v>
      </c>
      <c r="BI168" s="23">
        <v>83</v>
      </c>
      <c r="BJ168" s="46" t="s">
        <v>0</v>
      </c>
    </row>
    <row r="169" spans="60:62" ht="39.950000000000003" hidden="1" customHeight="1" x14ac:dyDescent="0.25">
      <c r="BH169" s="19">
        <v>167</v>
      </c>
      <c r="BI169" s="23">
        <v>83.5</v>
      </c>
      <c r="BJ169" s="46" t="s">
        <v>0</v>
      </c>
    </row>
    <row r="170" spans="60:62" ht="39.950000000000003" hidden="1" customHeight="1" x14ac:dyDescent="0.25">
      <c r="BH170" s="19">
        <v>168</v>
      </c>
      <c r="BI170" s="23">
        <v>84</v>
      </c>
      <c r="BJ170" s="46" t="s">
        <v>0</v>
      </c>
    </row>
    <row r="171" spans="60:62" ht="39.950000000000003" hidden="1" customHeight="1" x14ac:dyDescent="0.25">
      <c r="BH171" s="19">
        <v>169</v>
      </c>
      <c r="BI171" s="23">
        <v>84.5</v>
      </c>
      <c r="BJ171" s="46" t="s">
        <v>0</v>
      </c>
    </row>
    <row r="172" spans="60:62" ht="39.950000000000003" hidden="1" customHeight="1" x14ac:dyDescent="0.25">
      <c r="BH172" s="19">
        <v>170</v>
      </c>
      <c r="BI172" s="23">
        <v>85</v>
      </c>
      <c r="BJ172" s="46" t="s">
        <v>0</v>
      </c>
    </row>
    <row r="173" spans="60:62" ht="39.950000000000003" hidden="1" customHeight="1" x14ac:dyDescent="0.25">
      <c r="BH173" s="19">
        <v>171</v>
      </c>
      <c r="BI173" s="23">
        <v>85.5</v>
      </c>
      <c r="BJ173" s="46" t="s">
        <v>0</v>
      </c>
    </row>
    <row r="174" spans="60:62" ht="39.950000000000003" hidden="1" customHeight="1" x14ac:dyDescent="0.25">
      <c r="BH174" s="19">
        <v>172</v>
      </c>
      <c r="BI174" s="23">
        <v>86</v>
      </c>
      <c r="BJ174" s="46" t="s">
        <v>0</v>
      </c>
    </row>
    <row r="175" spans="60:62" ht="39.950000000000003" hidden="1" customHeight="1" x14ac:dyDescent="0.25">
      <c r="BH175" s="19">
        <v>173</v>
      </c>
      <c r="BI175" s="23">
        <v>86.5</v>
      </c>
      <c r="BJ175" s="46" t="s">
        <v>0</v>
      </c>
    </row>
    <row r="176" spans="60:62" ht="39.950000000000003" hidden="1" customHeight="1" x14ac:dyDescent="0.25">
      <c r="BH176" s="19">
        <v>174</v>
      </c>
      <c r="BI176" s="23">
        <v>87</v>
      </c>
      <c r="BJ176" s="46" t="s">
        <v>0</v>
      </c>
    </row>
    <row r="177" spans="60:62" ht="39.950000000000003" hidden="1" customHeight="1" x14ac:dyDescent="0.25">
      <c r="BH177" s="19">
        <v>175</v>
      </c>
      <c r="BI177" s="23">
        <v>87.5</v>
      </c>
      <c r="BJ177" s="46" t="s">
        <v>0</v>
      </c>
    </row>
    <row r="178" spans="60:62" ht="39.950000000000003" hidden="1" customHeight="1" x14ac:dyDescent="0.25">
      <c r="BH178" s="19">
        <v>176</v>
      </c>
      <c r="BI178" s="23">
        <v>88</v>
      </c>
      <c r="BJ178" s="46" t="s">
        <v>0</v>
      </c>
    </row>
    <row r="179" spans="60:62" ht="39.950000000000003" hidden="1" customHeight="1" x14ac:dyDescent="0.25">
      <c r="BH179" s="19">
        <v>177</v>
      </c>
      <c r="BI179" s="23">
        <v>88.5</v>
      </c>
      <c r="BJ179" s="46" t="s">
        <v>0</v>
      </c>
    </row>
    <row r="180" spans="60:62" ht="39.950000000000003" hidden="1" customHeight="1" x14ac:dyDescent="0.25">
      <c r="BH180" s="19">
        <v>178</v>
      </c>
      <c r="BI180" s="23">
        <v>89</v>
      </c>
      <c r="BJ180" s="46" t="s">
        <v>0</v>
      </c>
    </row>
    <row r="181" spans="60:62" ht="39.950000000000003" hidden="1" customHeight="1" x14ac:dyDescent="0.25">
      <c r="BH181" s="19">
        <v>179</v>
      </c>
      <c r="BI181" s="23">
        <v>89.5</v>
      </c>
      <c r="BJ181" s="46" t="s">
        <v>0</v>
      </c>
    </row>
    <row r="182" spans="60:62" ht="39.950000000000003" hidden="1" customHeight="1" x14ac:dyDescent="0.25">
      <c r="BH182" s="19">
        <v>180</v>
      </c>
      <c r="BI182" s="23">
        <v>90</v>
      </c>
      <c r="BJ182" s="46" t="s">
        <v>0</v>
      </c>
    </row>
    <row r="183" spans="60:62" ht="39.950000000000003" hidden="1" customHeight="1" x14ac:dyDescent="0.25">
      <c r="BH183" s="19">
        <v>181</v>
      </c>
      <c r="BI183" s="23">
        <v>90.5</v>
      </c>
      <c r="BJ183" s="46" t="s">
        <v>0</v>
      </c>
    </row>
    <row r="184" spans="60:62" ht="39.950000000000003" hidden="1" customHeight="1" x14ac:dyDescent="0.25">
      <c r="BH184" s="19">
        <v>182</v>
      </c>
      <c r="BI184" s="23">
        <v>91</v>
      </c>
      <c r="BJ184" s="46" t="s">
        <v>0</v>
      </c>
    </row>
    <row r="185" spans="60:62" ht="39.950000000000003" hidden="1" customHeight="1" x14ac:dyDescent="0.25">
      <c r="BH185" s="19">
        <v>183</v>
      </c>
      <c r="BI185" s="23">
        <v>91.5</v>
      </c>
      <c r="BJ185" s="46" t="s">
        <v>0</v>
      </c>
    </row>
    <row r="186" spans="60:62" ht="39.950000000000003" hidden="1" customHeight="1" x14ac:dyDescent="0.25">
      <c r="BH186" s="19">
        <v>184</v>
      </c>
      <c r="BI186" s="23">
        <v>92</v>
      </c>
      <c r="BJ186" s="46" t="s">
        <v>0</v>
      </c>
    </row>
    <row r="187" spans="60:62" ht="39.950000000000003" hidden="1" customHeight="1" x14ac:dyDescent="0.25">
      <c r="BH187" s="19">
        <v>185</v>
      </c>
      <c r="BI187" s="23">
        <v>92.5</v>
      </c>
      <c r="BJ187" s="46" t="s">
        <v>0</v>
      </c>
    </row>
    <row r="188" spans="60:62" ht="39.950000000000003" hidden="1" customHeight="1" x14ac:dyDescent="0.25">
      <c r="BH188" s="19">
        <v>186</v>
      </c>
      <c r="BI188" s="23">
        <v>93</v>
      </c>
      <c r="BJ188" s="46" t="s">
        <v>0</v>
      </c>
    </row>
    <row r="189" spans="60:62" ht="39.950000000000003" hidden="1" customHeight="1" x14ac:dyDescent="0.25">
      <c r="BH189" s="19">
        <v>187</v>
      </c>
      <c r="BI189" s="23">
        <v>93.5</v>
      </c>
      <c r="BJ189" s="46" t="s">
        <v>0</v>
      </c>
    </row>
    <row r="190" spans="60:62" ht="39.950000000000003" hidden="1" customHeight="1" x14ac:dyDescent="0.25">
      <c r="BH190" s="19">
        <v>188</v>
      </c>
      <c r="BI190" s="23">
        <v>94</v>
      </c>
      <c r="BJ190" s="46" t="s">
        <v>0</v>
      </c>
    </row>
    <row r="191" spans="60:62" ht="39.950000000000003" hidden="1" customHeight="1" x14ac:dyDescent="0.25">
      <c r="BH191" s="19">
        <v>189</v>
      </c>
      <c r="BI191" s="23">
        <v>94.5</v>
      </c>
      <c r="BJ191" s="46" t="s">
        <v>0</v>
      </c>
    </row>
    <row r="192" spans="60:62" ht="39.950000000000003" hidden="1" customHeight="1" x14ac:dyDescent="0.25">
      <c r="BH192" s="19">
        <v>190</v>
      </c>
      <c r="BI192" s="23">
        <v>95</v>
      </c>
      <c r="BJ192" s="46" t="s">
        <v>0</v>
      </c>
    </row>
    <row r="193" spans="60:62" ht="39.950000000000003" hidden="1" customHeight="1" x14ac:dyDescent="0.25">
      <c r="BH193" s="19">
        <v>191</v>
      </c>
      <c r="BI193" s="23">
        <v>95.5</v>
      </c>
      <c r="BJ193" s="46" t="s">
        <v>0</v>
      </c>
    </row>
    <row r="194" spans="60:62" ht="39.950000000000003" hidden="1" customHeight="1" x14ac:dyDescent="0.25">
      <c r="BH194" s="19">
        <v>192</v>
      </c>
      <c r="BI194" s="23">
        <v>96</v>
      </c>
      <c r="BJ194" s="46" t="s">
        <v>0</v>
      </c>
    </row>
    <row r="195" spans="60:62" ht="39.950000000000003" hidden="1" customHeight="1" x14ac:dyDescent="0.25">
      <c r="BH195" s="19">
        <v>193</v>
      </c>
      <c r="BI195" s="23">
        <v>96.5</v>
      </c>
      <c r="BJ195" s="46" t="s">
        <v>0</v>
      </c>
    </row>
    <row r="196" spans="60:62" ht="39.950000000000003" hidden="1" customHeight="1" x14ac:dyDescent="0.25">
      <c r="BH196" s="19">
        <v>194</v>
      </c>
      <c r="BI196" s="23">
        <v>97</v>
      </c>
      <c r="BJ196" s="46" t="s">
        <v>0</v>
      </c>
    </row>
    <row r="197" spans="60:62" ht="39.950000000000003" hidden="1" customHeight="1" x14ac:dyDescent="0.25">
      <c r="BH197" s="19">
        <v>195</v>
      </c>
      <c r="BI197" s="23">
        <v>97.5</v>
      </c>
      <c r="BJ197" s="46" t="s">
        <v>0</v>
      </c>
    </row>
    <row r="198" spans="60:62" ht="39.950000000000003" hidden="1" customHeight="1" x14ac:dyDescent="0.25">
      <c r="BH198" s="19">
        <v>196</v>
      </c>
      <c r="BI198" s="23">
        <v>98</v>
      </c>
      <c r="BJ198" s="46" t="s">
        <v>0</v>
      </c>
    </row>
    <row r="199" spans="60:62" ht="39.950000000000003" hidden="1" customHeight="1" x14ac:dyDescent="0.25">
      <c r="BH199" s="19">
        <v>197</v>
      </c>
      <c r="BI199" s="23">
        <v>98.5</v>
      </c>
      <c r="BJ199" s="46" t="s">
        <v>0</v>
      </c>
    </row>
    <row r="200" spans="60:62" ht="39.950000000000003" hidden="1" customHeight="1" x14ac:dyDescent="0.25">
      <c r="BH200" s="19">
        <v>198</v>
      </c>
      <c r="BI200" s="23">
        <v>99</v>
      </c>
      <c r="BJ200" s="46" t="s">
        <v>0</v>
      </c>
    </row>
    <row r="201" spans="60:62" ht="39.950000000000003" hidden="1" customHeight="1" x14ac:dyDescent="0.25">
      <c r="BH201" s="19">
        <v>199</v>
      </c>
      <c r="BI201" s="23">
        <v>99.5</v>
      </c>
      <c r="BJ201" s="46" t="s">
        <v>0</v>
      </c>
    </row>
    <row r="202" spans="60:62" ht="39.950000000000003" hidden="1" customHeight="1" x14ac:dyDescent="0.25">
      <c r="BH202" s="19">
        <v>200</v>
      </c>
      <c r="BI202" s="23">
        <v>100</v>
      </c>
      <c r="BJ202" s="46" t="s">
        <v>0</v>
      </c>
    </row>
    <row r="203" spans="60:62" ht="39.950000000000003" hidden="1" customHeight="1" x14ac:dyDescent="0.25">
      <c r="BH203" s="19">
        <v>201</v>
      </c>
      <c r="BI203" s="23">
        <v>100.5</v>
      </c>
      <c r="BJ203" s="46" t="s">
        <v>0</v>
      </c>
    </row>
    <row r="204" spans="60:62" ht="39.950000000000003" hidden="1" customHeight="1" x14ac:dyDescent="0.25">
      <c r="BH204" s="19">
        <v>202</v>
      </c>
      <c r="BI204" s="23">
        <v>101</v>
      </c>
      <c r="BJ204" s="46" t="s">
        <v>0</v>
      </c>
    </row>
    <row r="205" spans="60:62" ht="39.950000000000003" hidden="1" customHeight="1" x14ac:dyDescent="0.25">
      <c r="BH205" s="19">
        <v>203</v>
      </c>
      <c r="BI205" s="23">
        <v>101.5</v>
      </c>
      <c r="BJ205" s="46" t="s">
        <v>0</v>
      </c>
    </row>
    <row r="206" spans="60:62" ht="39.950000000000003" hidden="1" customHeight="1" x14ac:dyDescent="0.25">
      <c r="BH206" s="19">
        <v>204</v>
      </c>
      <c r="BI206" s="23">
        <v>102</v>
      </c>
      <c r="BJ206" s="46" t="s">
        <v>0</v>
      </c>
    </row>
    <row r="207" spans="60:62" ht="39.950000000000003" hidden="1" customHeight="1" x14ac:dyDescent="0.25">
      <c r="BH207" s="19">
        <v>205</v>
      </c>
      <c r="BI207" s="23">
        <v>102.5</v>
      </c>
      <c r="BJ207" s="46" t="s">
        <v>0</v>
      </c>
    </row>
    <row r="208" spans="60:62" ht="39.950000000000003" hidden="1" customHeight="1" x14ac:dyDescent="0.25">
      <c r="BH208" s="19">
        <v>206</v>
      </c>
      <c r="BI208" s="23">
        <v>103</v>
      </c>
      <c r="BJ208" s="46" t="s">
        <v>0</v>
      </c>
    </row>
    <row r="209" spans="60:62" ht="39.950000000000003" hidden="1" customHeight="1" x14ac:dyDescent="0.25">
      <c r="BH209" s="19">
        <v>207</v>
      </c>
      <c r="BI209" s="23">
        <v>103.5</v>
      </c>
      <c r="BJ209" s="46" t="s">
        <v>0</v>
      </c>
    </row>
    <row r="210" spans="60:62" ht="39.950000000000003" hidden="1" customHeight="1" x14ac:dyDescent="0.25">
      <c r="BH210" s="19">
        <v>208</v>
      </c>
      <c r="BI210" s="23">
        <v>104</v>
      </c>
      <c r="BJ210" s="46" t="s">
        <v>0</v>
      </c>
    </row>
    <row r="211" spans="60:62" ht="39.950000000000003" hidden="1" customHeight="1" x14ac:dyDescent="0.25">
      <c r="BH211" s="19">
        <v>209</v>
      </c>
      <c r="BI211" s="23">
        <v>104.5</v>
      </c>
      <c r="BJ211" s="46" t="s">
        <v>0</v>
      </c>
    </row>
    <row r="212" spans="60:62" ht="39.950000000000003" hidden="1" customHeight="1" x14ac:dyDescent="0.25">
      <c r="BH212" s="19">
        <v>210</v>
      </c>
      <c r="BI212" s="23">
        <v>105</v>
      </c>
      <c r="BJ212" s="46" t="s">
        <v>0</v>
      </c>
    </row>
    <row r="213" spans="60:62" ht="39.950000000000003" hidden="1" customHeight="1" x14ac:dyDescent="0.25">
      <c r="BH213" s="19">
        <v>211</v>
      </c>
      <c r="BI213" s="23">
        <v>105.5</v>
      </c>
      <c r="BJ213" s="46" t="s">
        <v>0</v>
      </c>
    </row>
    <row r="214" spans="60:62" ht="39.950000000000003" hidden="1" customHeight="1" x14ac:dyDescent="0.25">
      <c r="BH214" s="19">
        <v>212</v>
      </c>
      <c r="BI214" s="23">
        <v>106</v>
      </c>
      <c r="BJ214" s="46" t="s">
        <v>0</v>
      </c>
    </row>
    <row r="215" spans="60:62" ht="39.950000000000003" hidden="1" customHeight="1" x14ac:dyDescent="0.25">
      <c r="BH215" s="19">
        <v>213</v>
      </c>
      <c r="BI215" s="23">
        <v>106.5</v>
      </c>
      <c r="BJ215" s="46" t="s">
        <v>0</v>
      </c>
    </row>
    <row r="216" spans="60:62" ht="39.950000000000003" hidden="1" customHeight="1" x14ac:dyDescent="0.25">
      <c r="BH216" s="19">
        <v>214</v>
      </c>
      <c r="BI216" s="23">
        <v>107</v>
      </c>
      <c r="BJ216" s="46" t="s">
        <v>0</v>
      </c>
    </row>
    <row r="217" spans="60:62" ht="39.950000000000003" hidden="1" customHeight="1" x14ac:dyDescent="0.25">
      <c r="BH217" s="19">
        <v>215</v>
      </c>
      <c r="BI217" s="23">
        <v>107.5</v>
      </c>
      <c r="BJ217" s="46" t="s">
        <v>0</v>
      </c>
    </row>
    <row r="218" spans="60:62" ht="39.950000000000003" hidden="1" customHeight="1" x14ac:dyDescent="0.25">
      <c r="BH218" s="19">
        <v>216</v>
      </c>
      <c r="BI218" s="23">
        <v>108</v>
      </c>
      <c r="BJ218" s="46" t="s">
        <v>0</v>
      </c>
    </row>
    <row r="219" spans="60:62" ht="39.950000000000003" hidden="1" customHeight="1" x14ac:dyDescent="0.25">
      <c r="BH219" s="19">
        <v>217</v>
      </c>
      <c r="BI219" s="23">
        <v>108.5</v>
      </c>
      <c r="BJ219" s="46" t="s">
        <v>0</v>
      </c>
    </row>
    <row r="220" spans="60:62" ht="39.950000000000003" hidden="1" customHeight="1" x14ac:dyDescent="0.25">
      <c r="BH220" s="19">
        <v>218</v>
      </c>
      <c r="BI220" s="23">
        <v>109</v>
      </c>
      <c r="BJ220" s="46" t="s">
        <v>0</v>
      </c>
    </row>
    <row r="221" spans="60:62" ht="39.950000000000003" hidden="1" customHeight="1" x14ac:dyDescent="0.25">
      <c r="BH221" s="19">
        <v>219</v>
      </c>
      <c r="BI221" s="23">
        <v>109.5</v>
      </c>
      <c r="BJ221" s="46" t="s">
        <v>0</v>
      </c>
    </row>
    <row r="222" spans="60:62" ht="39.950000000000003" hidden="1" customHeight="1" x14ac:dyDescent="0.25">
      <c r="BH222" s="19">
        <v>220</v>
      </c>
      <c r="BI222" s="23">
        <v>110</v>
      </c>
      <c r="BJ222" s="46" t="s">
        <v>0</v>
      </c>
    </row>
    <row r="223" spans="60:62" ht="39.950000000000003" hidden="1" customHeight="1" x14ac:dyDescent="0.25">
      <c r="BH223" s="19">
        <v>221</v>
      </c>
      <c r="BI223" s="23">
        <v>110.5</v>
      </c>
      <c r="BJ223" s="46" t="s">
        <v>0</v>
      </c>
    </row>
    <row r="224" spans="60:62" ht="39.950000000000003" hidden="1" customHeight="1" x14ac:dyDescent="0.25">
      <c r="BH224" s="19">
        <v>222</v>
      </c>
      <c r="BI224" s="23">
        <v>111</v>
      </c>
      <c r="BJ224" s="46" t="s">
        <v>0</v>
      </c>
    </row>
    <row r="225" spans="60:62" ht="39.950000000000003" hidden="1" customHeight="1" x14ac:dyDescent="0.25">
      <c r="BH225" s="19">
        <v>223</v>
      </c>
      <c r="BI225" s="23">
        <v>111.5</v>
      </c>
      <c r="BJ225" s="46" t="s">
        <v>0</v>
      </c>
    </row>
    <row r="226" spans="60:62" ht="39.950000000000003" hidden="1" customHeight="1" x14ac:dyDescent="0.25">
      <c r="BH226" s="19">
        <v>224</v>
      </c>
      <c r="BI226" s="23">
        <v>112</v>
      </c>
      <c r="BJ226" s="46" t="s">
        <v>0</v>
      </c>
    </row>
    <row r="227" spans="60:62" ht="39.950000000000003" hidden="1" customHeight="1" x14ac:dyDescent="0.25">
      <c r="BH227" s="19">
        <v>225</v>
      </c>
      <c r="BI227" s="23">
        <v>112.5</v>
      </c>
      <c r="BJ227" s="46" t="s">
        <v>0</v>
      </c>
    </row>
    <row r="228" spans="60:62" ht="39.950000000000003" hidden="1" customHeight="1" x14ac:dyDescent="0.25">
      <c r="BH228" s="19">
        <v>226</v>
      </c>
      <c r="BI228" s="23">
        <v>113</v>
      </c>
      <c r="BJ228" s="46" t="s">
        <v>0</v>
      </c>
    </row>
    <row r="229" spans="60:62" ht="39.950000000000003" hidden="1" customHeight="1" x14ac:dyDescent="0.25">
      <c r="BH229" s="19">
        <v>227</v>
      </c>
      <c r="BI229" s="23">
        <v>113.5</v>
      </c>
      <c r="BJ229" s="46" t="s">
        <v>0</v>
      </c>
    </row>
    <row r="230" spans="60:62" ht="39.950000000000003" hidden="1" customHeight="1" x14ac:dyDescent="0.25">
      <c r="BH230" s="19">
        <v>228</v>
      </c>
      <c r="BI230" s="23">
        <v>114</v>
      </c>
      <c r="BJ230" s="46" t="s">
        <v>0</v>
      </c>
    </row>
    <row r="231" spans="60:62" ht="39.950000000000003" hidden="1" customHeight="1" x14ac:dyDescent="0.25">
      <c r="BH231" s="19">
        <v>229</v>
      </c>
      <c r="BI231" s="23">
        <v>114.5</v>
      </c>
      <c r="BJ231" s="46" t="s">
        <v>0</v>
      </c>
    </row>
    <row r="232" spans="60:62" ht="39.950000000000003" hidden="1" customHeight="1" x14ac:dyDescent="0.25">
      <c r="BH232" s="19">
        <v>230</v>
      </c>
      <c r="BI232" s="23">
        <v>115</v>
      </c>
      <c r="BJ232" s="46" t="s">
        <v>0</v>
      </c>
    </row>
    <row r="233" spans="60:62" ht="39.950000000000003" hidden="1" customHeight="1" x14ac:dyDescent="0.25">
      <c r="BH233" s="19">
        <v>231</v>
      </c>
      <c r="BI233" s="23">
        <v>115.5</v>
      </c>
      <c r="BJ233" s="46" t="s">
        <v>0</v>
      </c>
    </row>
    <row r="234" spans="60:62" ht="39.950000000000003" hidden="1" customHeight="1" x14ac:dyDescent="0.25">
      <c r="BH234" s="19">
        <v>232</v>
      </c>
      <c r="BI234" s="23">
        <v>116</v>
      </c>
      <c r="BJ234" s="46" t="s">
        <v>0</v>
      </c>
    </row>
    <row r="235" spans="60:62" ht="39.950000000000003" hidden="1" customHeight="1" x14ac:dyDescent="0.25">
      <c r="BH235" s="19">
        <v>233</v>
      </c>
      <c r="BI235" s="23">
        <v>116.5</v>
      </c>
      <c r="BJ235" s="46" t="s">
        <v>0</v>
      </c>
    </row>
    <row r="236" spans="60:62" ht="39.950000000000003" hidden="1" customHeight="1" x14ac:dyDescent="0.25">
      <c r="BH236" s="19">
        <v>234</v>
      </c>
      <c r="BI236" s="23">
        <v>117</v>
      </c>
      <c r="BJ236" s="46" t="s">
        <v>0</v>
      </c>
    </row>
    <row r="237" spans="60:62" ht="39.950000000000003" hidden="1" customHeight="1" x14ac:dyDescent="0.25">
      <c r="BH237" s="19">
        <v>235</v>
      </c>
      <c r="BI237" s="23">
        <v>117.5</v>
      </c>
      <c r="BJ237" s="46" t="s">
        <v>0</v>
      </c>
    </row>
    <row r="238" spans="60:62" ht="39.950000000000003" hidden="1" customHeight="1" x14ac:dyDescent="0.25">
      <c r="BH238" s="19">
        <v>236</v>
      </c>
      <c r="BI238" s="23">
        <v>118</v>
      </c>
      <c r="BJ238" s="46" t="s">
        <v>0</v>
      </c>
    </row>
    <row r="239" spans="60:62" ht="39.950000000000003" hidden="1" customHeight="1" x14ac:dyDescent="0.25">
      <c r="BH239" s="19">
        <v>237</v>
      </c>
      <c r="BI239" s="23">
        <v>118.5</v>
      </c>
      <c r="BJ239" s="46" t="s">
        <v>0</v>
      </c>
    </row>
    <row r="240" spans="60:62" ht="39.950000000000003" hidden="1" customHeight="1" x14ac:dyDescent="0.25">
      <c r="BH240" s="19">
        <v>238</v>
      </c>
      <c r="BI240" s="23">
        <v>119</v>
      </c>
      <c r="BJ240" s="46" t="s">
        <v>0</v>
      </c>
    </row>
    <row r="241" spans="1:62" ht="39.950000000000003" hidden="1" customHeight="1" x14ac:dyDescent="0.25">
      <c r="BH241" s="19">
        <v>239</v>
      </c>
      <c r="BI241" s="23">
        <v>119.5</v>
      </c>
      <c r="BJ241" s="46" t="s">
        <v>0</v>
      </c>
    </row>
    <row r="242" spans="1:62" ht="39.950000000000003" hidden="1" customHeight="1" x14ac:dyDescent="0.25">
      <c r="BH242" s="19">
        <v>240</v>
      </c>
      <c r="BI242" s="23">
        <v>120</v>
      </c>
      <c r="BJ242" s="46" t="s">
        <v>0</v>
      </c>
    </row>
    <row r="243" spans="1:62" ht="39.950000000000003" hidden="1" customHeight="1" x14ac:dyDescent="0.25">
      <c r="BH243" s="19">
        <v>241</v>
      </c>
      <c r="BI243" s="23">
        <v>120.5</v>
      </c>
      <c r="BJ243" s="46" t="s">
        <v>0</v>
      </c>
    </row>
    <row r="244" spans="1:62" ht="39.950000000000003" hidden="1" customHeight="1" x14ac:dyDescent="0.25">
      <c r="BH244" s="19">
        <v>242</v>
      </c>
      <c r="BI244" s="23">
        <v>121</v>
      </c>
      <c r="BJ244" s="46" t="s">
        <v>0</v>
      </c>
    </row>
    <row r="245" spans="1:62" ht="39.950000000000003" hidden="1" customHeight="1" x14ac:dyDescent="0.25">
      <c r="BH245" s="19">
        <v>243</v>
      </c>
      <c r="BI245" s="23">
        <v>121.5</v>
      </c>
      <c r="BJ245" s="46" t="s">
        <v>0</v>
      </c>
    </row>
    <row r="246" spans="1:62" ht="39.950000000000003" hidden="1" customHeight="1" x14ac:dyDescent="0.25">
      <c r="BH246" s="19">
        <v>244</v>
      </c>
      <c r="BI246" s="23">
        <v>122</v>
      </c>
      <c r="BJ246" s="46" t="s">
        <v>0</v>
      </c>
    </row>
    <row r="247" spans="1:62" ht="39.950000000000003" hidden="1" customHeight="1" x14ac:dyDescent="0.25">
      <c r="BH247" s="19">
        <v>245</v>
      </c>
      <c r="BI247" s="23">
        <v>122.5</v>
      </c>
      <c r="BJ247" s="46" t="s">
        <v>0</v>
      </c>
    </row>
    <row r="248" spans="1:62" ht="39.950000000000003" hidden="1" customHeight="1" x14ac:dyDescent="0.25">
      <c r="BH248" s="19">
        <v>246</v>
      </c>
      <c r="BI248" s="23">
        <v>123</v>
      </c>
      <c r="BJ248" s="46" t="s">
        <v>0</v>
      </c>
    </row>
    <row r="249" spans="1:62" ht="39.950000000000003" hidden="1" customHeight="1" x14ac:dyDescent="0.25">
      <c r="BH249" s="19">
        <v>247</v>
      </c>
      <c r="BI249" s="23">
        <v>123.5</v>
      </c>
      <c r="BJ249" s="46" t="s">
        <v>0</v>
      </c>
    </row>
    <row r="250" spans="1:62" ht="39.950000000000003" hidden="1" customHeight="1" x14ac:dyDescent="0.25">
      <c r="BH250" s="19">
        <v>248</v>
      </c>
      <c r="BI250" s="23">
        <v>124</v>
      </c>
      <c r="BJ250" s="46" t="s">
        <v>0</v>
      </c>
    </row>
    <row r="251" spans="1:62" ht="39.950000000000003" hidden="1" customHeight="1" x14ac:dyDescent="0.25">
      <c r="BH251" s="19">
        <v>249</v>
      </c>
      <c r="BI251" s="23">
        <v>124.5</v>
      </c>
      <c r="BJ251" s="46" t="s">
        <v>0</v>
      </c>
    </row>
    <row r="252" spans="1:62" ht="39.950000000000003" hidden="1" customHeight="1" x14ac:dyDescent="0.25">
      <c r="BH252" s="19">
        <v>250</v>
      </c>
      <c r="BI252" s="23">
        <v>125</v>
      </c>
      <c r="BJ252" s="46" t="s">
        <v>0</v>
      </c>
    </row>
    <row r="253" spans="1:62" ht="39.950000000000003" hidden="1" customHeight="1" x14ac:dyDescent="0.25">
      <c r="BH253" s="19">
        <v>251</v>
      </c>
      <c r="BI253" s="23">
        <v>125.5</v>
      </c>
      <c r="BJ253" s="46" t="s">
        <v>0</v>
      </c>
    </row>
    <row r="254" spans="1:62" s="18" customFormat="1" ht="39.950000000000003" hidden="1"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c r="BD254" s="19"/>
      <c r="BE254" s="19"/>
      <c r="BF254" s="19"/>
      <c r="BG254" s="19"/>
      <c r="BH254" s="19">
        <v>252</v>
      </c>
      <c r="BI254" s="23">
        <v>126</v>
      </c>
      <c r="BJ254" s="46" t="s">
        <v>0</v>
      </c>
    </row>
    <row r="255" spans="1:62" s="18" customFormat="1" ht="39.950000000000003" hidden="1"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v>253</v>
      </c>
      <c r="BI255" s="23">
        <v>126.5</v>
      </c>
      <c r="BJ255" s="46" t="s">
        <v>0</v>
      </c>
    </row>
    <row r="256" spans="1:62" s="18" customFormat="1" ht="39.950000000000003" hidden="1"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v>254</v>
      </c>
      <c r="BI256" s="23">
        <v>127</v>
      </c>
      <c r="BJ256" s="46" t="s">
        <v>0</v>
      </c>
    </row>
    <row r="257" spans="1:62" s="18" customFormat="1" ht="39.950000000000003" hidden="1"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v>255</v>
      </c>
      <c r="BI257" s="23">
        <v>127.5</v>
      </c>
      <c r="BJ257" s="46" t="s">
        <v>0</v>
      </c>
    </row>
    <row r="258" spans="1:62" s="18" customFormat="1" ht="39.950000000000003" hidden="1"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c r="BD258" s="19"/>
      <c r="BE258" s="19"/>
      <c r="BF258" s="19"/>
      <c r="BG258" s="19"/>
      <c r="BH258" s="19">
        <v>256</v>
      </c>
      <c r="BI258" s="23">
        <v>128</v>
      </c>
      <c r="BJ258" s="46" t="s">
        <v>0</v>
      </c>
    </row>
    <row r="259" spans="1:62" s="18" customFormat="1" ht="39.950000000000003" hidden="1"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v>257</v>
      </c>
      <c r="BI259" s="23">
        <v>128.5</v>
      </c>
      <c r="BJ259" s="46" t="s">
        <v>0</v>
      </c>
    </row>
    <row r="260" spans="1:62" s="18" customFormat="1" ht="39.950000000000003" hidden="1"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v>258</v>
      </c>
      <c r="BI260" s="23">
        <v>129</v>
      </c>
      <c r="BJ260" s="46" t="s">
        <v>0</v>
      </c>
    </row>
    <row r="261" spans="1:62" s="18" customFormat="1" ht="39.950000000000003" hidden="1"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v>259</v>
      </c>
      <c r="BI261" s="23">
        <v>129.5</v>
      </c>
      <c r="BJ261" s="46" t="s">
        <v>0</v>
      </c>
    </row>
    <row r="262" spans="1:62" s="18" customFormat="1" ht="39.950000000000003" hidden="1"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v>260</v>
      </c>
      <c r="BI262" s="23">
        <v>130</v>
      </c>
      <c r="BJ262" s="46" t="s">
        <v>0</v>
      </c>
    </row>
    <row r="263" spans="1:62" s="18" customFormat="1" ht="39.950000000000003" hidden="1"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v>261</v>
      </c>
      <c r="BI263" s="23">
        <v>130.5</v>
      </c>
      <c r="BJ263" s="46" t="s">
        <v>0</v>
      </c>
    </row>
    <row r="264" spans="1:62" s="18" customFormat="1" ht="39.950000000000003" hidden="1"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v>262</v>
      </c>
      <c r="BI264" s="23">
        <v>131</v>
      </c>
      <c r="BJ264" s="46" t="s">
        <v>0</v>
      </c>
    </row>
    <row r="265" spans="1:62" s="18" customFormat="1" ht="39.950000000000003" hidden="1"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v>263</v>
      </c>
      <c r="BI265" s="23">
        <v>131.5</v>
      </c>
      <c r="BJ265" s="46" t="s">
        <v>0</v>
      </c>
    </row>
    <row r="266" spans="1:62" s="18" customFormat="1" ht="39.950000000000003" hidden="1"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v>264</v>
      </c>
      <c r="BI266" s="23">
        <v>132</v>
      </c>
      <c r="BJ266" s="46" t="s">
        <v>0</v>
      </c>
    </row>
    <row r="267" spans="1:62" s="18" customFormat="1" ht="39.950000000000003" hidden="1"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v>265</v>
      </c>
      <c r="BI267" s="23">
        <v>132.5</v>
      </c>
      <c r="BJ267" s="46" t="s">
        <v>0</v>
      </c>
    </row>
    <row r="268" spans="1:62" s="18" customFormat="1" ht="39.950000000000003" hidden="1"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v>266</v>
      </c>
      <c r="BI268" s="23">
        <v>133</v>
      </c>
      <c r="BJ268" s="46" t="s">
        <v>0</v>
      </c>
    </row>
    <row r="269" spans="1:62" s="18" customFormat="1" ht="39.950000000000003" hidden="1"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v>267</v>
      </c>
      <c r="BI269" s="23">
        <v>133.5</v>
      </c>
      <c r="BJ269" s="46" t="s">
        <v>0</v>
      </c>
    </row>
    <row r="270" spans="1:62" ht="39.950000000000003" hidden="1" customHeight="1" x14ac:dyDescent="0.25">
      <c r="BH270" s="19">
        <v>268</v>
      </c>
      <c r="BI270" s="23">
        <v>134</v>
      </c>
      <c r="BJ270" s="46" t="s">
        <v>0</v>
      </c>
    </row>
    <row r="271" spans="1:62" ht="39.950000000000003" hidden="1" customHeight="1" x14ac:dyDescent="0.25">
      <c r="BH271" s="19">
        <v>269</v>
      </c>
      <c r="BI271" s="23">
        <v>134.5</v>
      </c>
      <c r="BJ271" s="46" t="s">
        <v>0</v>
      </c>
    </row>
    <row r="272" spans="1:62" ht="39.950000000000003" hidden="1" customHeight="1" x14ac:dyDescent="0.25">
      <c r="BH272" s="19">
        <v>270</v>
      </c>
      <c r="BI272" s="23">
        <v>135</v>
      </c>
      <c r="BJ272" s="46" t="s">
        <v>0</v>
      </c>
    </row>
    <row r="273" spans="60:62" ht="39.950000000000003" hidden="1" customHeight="1" x14ac:dyDescent="0.25">
      <c r="BH273" s="19">
        <v>271</v>
      </c>
      <c r="BI273" s="23">
        <v>135.5</v>
      </c>
      <c r="BJ273" s="46" t="s">
        <v>0</v>
      </c>
    </row>
    <row r="274" spans="60:62" ht="39.950000000000003" hidden="1" customHeight="1" x14ac:dyDescent="0.25">
      <c r="BH274" s="19">
        <v>272</v>
      </c>
      <c r="BI274" s="23">
        <v>136</v>
      </c>
      <c r="BJ274" s="46" t="s">
        <v>0</v>
      </c>
    </row>
    <row r="275" spans="60:62" ht="39.950000000000003" hidden="1" customHeight="1" x14ac:dyDescent="0.25">
      <c r="BH275" s="19">
        <v>273</v>
      </c>
      <c r="BI275" s="23">
        <v>136.5</v>
      </c>
      <c r="BJ275" s="46" t="s">
        <v>0</v>
      </c>
    </row>
    <row r="276" spans="60:62" ht="39.950000000000003" hidden="1" customHeight="1" x14ac:dyDescent="0.25">
      <c r="BH276" s="19">
        <v>274</v>
      </c>
      <c r="BI276" s="23">
        <v>137</v>
      </c>
      <c r="BJ276" s="46" t="s">
        <v>0</v>
      </c>
    </row>
    <row r="277" spans="60:62" ht="39.950000000000003" hidden="1" customHeight="1" x14ac:dyDescent="0.25">
      <c r="BH277" s="19">
        <v>275</v>
      </c>
      <c r="BI277" s="23">
        <v>137.5</v>
      </c>
      <c r="BJ277" s="46" t="s">
        <v>0</v>
      </c>
    </row>
    <row r="278" spans="60:62" ht="39.950000000000003" hidden="1" customHeight="1" x14ac:dyDescent="0.25">
      <c r="BH278" s="19">
        <v>276</v>
      </c>
      <c r="BI278" s="23">
        <v>138</v>
      </c>
      <c r="BJ278" s="46" t="s">
        <v>0</v>
      </c>
    </row>
    <row r="279" spans="60:62" ht="39.950000000000003" hidden="1" customHeight="1" x14ac:dyDescent="0.25">
      <c r="BH279" s="19">
        <v>277</v>
      </c>
      <c r="BI279" s="23">
        <v>138.5</v>
      </c>
      <c r="BJ279" s="46" t="s">
        <v>0</v>
      </c>
    </row>
    <row r="280" spans="60:62" ht="39.950000000000003" hidden="1" customHeight="1" x14ac:dyDescent="0.25">
      <c r="BH280" s="19">
        <v>278</v>
      </c>
      <c r="BI280" s="23">
        <v>139</v>
      </c>
      <c r="BJ280" s="46" t="s">
        <v>0</v>
      </c>
    </row>
    <row r="281" spans="60:62" ht="39.950000000000003" hidden="1" customHeight="1" x14ac:dyDescent="0.25">
      <c r="BH281" s="19">
        <v>279</v>
      </c>
      <c r="BI281" s="23">
        <v>139.5</v>
      </c>
      <c r="BJ281" s="46" t="s">
        <v>0</v>
      </c>
    </row>
    <row r="282" spans="60:62" ht="39.950000000000003" hidden="1" customHeight="1" x14ac:dyDescent="0.25">
      <c r="BH282" s="19">
        <v>280</v>
      </c>
      <c r="BI282" s="23">
        <v>140</v>
      </c>
      <c r="BJ282" s="46" t="s">
        <v>0</v>
      </c>
    </row>
    <row r="283" spans="60:62" ht="39.950000000000003" hidden="1" customHeight="1" x14ac:dyDescent="0.25">
      <c r="BH283" s="19">
        <v>281</v>
      </c>
      <c r="BI283" s="23">
        <v>140.5</v>
      </c>
      <c r="BJ283" s="46" t="s">
        <v>0</v>
      </c>
    </row>
    <row r="284" spans="60:62" ht="39.950000000000003" hidden="1" customHeight="1" x14ac:dyDescent="0.25">
      <c r="BH284" s="19">
        <v>282</v>
      </c>
      <c r="BI284" s="23">
        <v>141</v>
      </c>
      <c r="BJ284" s="46" t="s">
        <v>0</v>
      </c>
    </row>
    <row r="285" spans="60:62" ht="39.950000000000003" hidden="1" customHeight="1" x14ac:dyDescent="0.25">
      <c r="BH285" s="19">
        <v>283</v>
      </c>
      <c r="BI285" s="23">
        <v>141.5</v>
      </c>
      <c r="BJ285" s="46" t="s">
        <v>0</v>
      </c>
    </row>
    <row r="286" spans="60:62" ht="39.950000000000003" hidden="1" customHeight="1" x14ac:dyDescent="0.25">
      <c r="BH286" s="19">
        <v>284</v>
      </c>
      <c r="BI286" s="23">
        <v>142</v>
      </c>
      <c r="BJ286" s="46" t="s">
        <v>0</v>
      </c>
    </row>
    <row r="287" spans="60:62" ht="39.950000000000003" hidden="1" customHeight="1" x14ac:dyDescent="0.25">
      <c r="BH287" s="19">
        <v>285</v>
      </c>
      <c r="BI287" s="23">
        <v>142.5</v>
      </c>
      <c r="BJ287" s="46" t="s">
        <v>0</v>
      </c>
    </row>
    <row r="288" spans="60:62" ht="39.950000000000003" hidden="1" customHeight="1" x14ac:dyDescent="0.25">
      <c r="BH288" s="19">
        <v>286</v>
      </c>
      <c r="BI288" s="23">
        <v>143</v>
      </c>
      <c r="BJ288" s="46" t="s">
        <v>0</v>
      </c>
    </row>
    <row r="289" spans="60:62" ht="39.950000000000003" hidden="1" customHeight="1" x14ac:dyDescent="0.25">
      <c r="BH289" s="19">
        <v>287</v>
      </c>
      <c r="BI289" s="23">
        <v>143.5</v>
      </c>
      <c r="BJ289" s="46" t="s">
        <v>0</v>
      </c>
    </row>
    <row r="290" spans="60:62" ht="39.950000000000003" hidden="1" customHeight="1" x14ac:dyDescent="0.25">
      <c r="BH290" s="19">
        <v>288</v>
      </c>
      <c r="BI290" s="23">
        <v>144</v>
      </c>
      <c r="BJ290" s="46" t="s">
        <v>0</v>
      </c>
    </row>
    <row r="291" spans="60:62" ht="39.950000000000003" hidden="1" customHeight="1" x14ac:dyDescent="0.25">
      <c r="BH291" s="19">
        <v>289</v>
      </c>
      <c r="BI291" s="23">
        <v>144.5</v>
      </c>
      <c r="BJ291" s="46" t="s">
        <v>0</v>
      </c>
    </row>
    <row r="292" spans="60:62" ht="39.950000000000003" hidden="1" customHeight="1" x14ac:dyDescent="0.25">
      <c r="BH292" s="19">
        <v>290</v>
      </c>
      <c r="BI292" s="23">
        <v>145</v>
      </c>
      <c r="BJ292" s="46" t="s">
        <v>0</v>
      </c>
    </row>
    <row r="293" spans="60:62" ht="39.950000000000003" hidden="1" customHeight="1" x14ac:dyDescent="0.25">
      <c r="BH293" s="19">
        <v>291</v>
      </c>
      <c r="BI293" s="23">
        <v>145.5</v>
      </c>
      <c r="BJ293" s="46" t="s">
        <v>0</v>
      </c>
    </row>
    <row r="294" spans="60:62" ht="39.950000000000003" hidden="1" customHeight="1" x14ac:dyDescent="0.25">
      <c r="BH294" s="19">
        <v>292</v>
      </c>
      <c r="BI294" s="23">
        <v>146</v>
      </c>
      <c r="BJ294" s="46" t="s">
        <v>0</v>
      </c>
    </row>
    <row r="295" spans="60:62" ht="39.950000000000003" hidden="1" customHeight="1" x14ac:dyDescent="0.25">
      <c r="BH295" s="19">
        <v>293</v>
      </c>
      <c r="BI295" s="23">
        <v>146.5</v>
      </c>
      <c r="BJ295" s="46" t="s">
        <v>0</v>
      </c>
    </row>
    <row r="296" spans="60:62" ht="39.950000000000003" hidden="1" customHeight="1" x14ac:dyDescent="0.25">
      <c r="BH296" s="19">
        <v>294</v>
      </c>
      <c r="BI296" s="23">
        <v>147</v>
      </c>
      <c r="BJ296" s="46" t="s">
        <v>0</v>
      </c>
    </row>
    <row r="297" spans="60:62" ht="39.950000000000003" hidden="1" customHeight="1" x14ac:dyDescent="0.25">
      <c r="BH297" s="19">
        <v>295</v>
      </c>
      <c r="BI297" s="23">
        <v>147.5</v>
      </c>
      <c r="BJ297" s="46" t="s">
        <v>0</v>
      </c>
    </row>
    <row r="298" spans="60:62" ht="39.950000000000003" hidden="1" customHeight="1" x14ac:dyDescent="0.25">
      <c r="BH298" s="19">
        <v>296</v>
      </c>
      <c r="BI298" s="23">
        <v>148</v>
      </c>
      <c r="BJ298" s="46" t="s">
        <v>0</v>
      </c>
    </row>
    <row r="299" spans="60:62" ht="39.950000000000003" hidden="1" customHeight="1" x14ac:dyDescent="0.25">
      <c r="BH299" s="19">
        <v>297</v>
      </c>
      <c r="BI299" s="23">
        <v>148.5</v>
      </c>
      <c r="BJ299" s="46" t="s">
        <v>0</v>
      </c>
    </row>
    <row r="300" spans="60:62" ht="39.950000000000003" hidden="1" customHeight="1" x14ac:dyDescent="0.25">
      <c r="BH300" s="19">
        <v>298</v>
      </c>
      <c r="BI300" s="23">
        <v>149</v>
      </c>
      <c r="BJ300" s="46" t="s">
        <v>0</v>
      </c>
    </row>
    <row r="301" spans="60:62" ht="39.950000000000003" hidden="1" customHeight="1" x14ac:dyDescent="0.25">
      <c r="BH301" s="19">
        <v>299</v>
      </c>
      <c r="BI301" s="23">
        <v>149.5</v>
      </c>
      <c r="BJ301" s="46" t="s">
        <v>0</v>
      </c>
    </row>
    <row r="302" spans="60:62" ht="39.950000000000003" hidden="1" customHeight="1" x14ac:dyDescent="0.25">
      <c r="BH302" s="19">
        <v>300</v>
      </c>
      <c r="BI302" s="23">
        <v>150</v>
      </c>
      <c r="BJ302" s="46" t="s">
        <v>0</v>
      </c>
    </row>
    <row r="303" spans="60:62" ht="39.950000000000003" hidden="1" customHeight="1" x14ac:dyDescent="0.25">
      <c r="BH303" s="19">
        <v>301</v>
      </c>
      <c r="BI303" s="23">
        <v>150.5</v>
      </c>
      <c r="BJ303" s="46" t="s">
        <v>0</v>
      </c>
    </row>
    <row r="304" spans="60:62" ht="39.950000000000003" hidden="1" customHeight="1" x14ac:dyDescent="0.25">
      <c r="BH304" s="19">
        <v>302</v>
      </c>
      <c r="BI304" s="23">
        <v>151</v>
      </c>
      <c r="BJ304" s="46" t="s">
        <v>0</v>
      </c>
    </row>
    <row r="305" spans="60:62" ht="39.950000000000003" hidden="1" customHeight="1" x14ac:dyDescent="0.25">
      <c r="BH305" s="19">
        <v>303</v>
      </c>
      <c r="BI305" s="23">
        <v>151.5</v>
      </c>
      <c r="BJ305" s="46" t="s">
        <v>0</v>
      </c>
    </row>
    <row r="306" spans="60:62" ht="39.950000000000003" hidden="1" customHeight="1" x14ac:dyDescent="0.25">
      <c r="BH306" s="19">
        <v>304</v>
      </c>
      <c r="BI306" s="23">
        <v>152</v>
      </c>
      <c r="BJ306" s="46" t="s">
        <v>0</v>
      </c>
    </row>
    <row r="307" spans="60:62" ht="39.950000000000003" hidden="1" customHeight="1" x14ac:dyDescent="0.25">
      <c r="BH307" s="19">
        <v>305</v>
      </c>
      <c r="BI307" s="23">
        <v>152.5</v>
      </c>
      <c r="BJ307" s="46" t="s">
        <v>0</v>
      </c>
    </row>
    <row r="308" spans="60:62" ht="39.950000000000003" hidden="1" customHeight="1" x14ac:dyDescent="0.25">
      <c r="BH308" s="19">
        <v>306</v>
      </c>
      <c r="BI308" s="23">
        <v>153</v>
      </c>
      <c r="BJ308" s="46" t="s">
        <v>0</v>
      </c>
    </row>
    <row r="309" spans="60:62" ht="39.950000000000003" hidden="1" customHeight="1" x14ac:dyDescent="0.25">
      <c r="BH309" s="19">
        <v>307</v>
      </c>
      <c r="BI309" s="23">
        <v>153.5</v>
      </c>
      <c r="BJ309" s="46" t="s">
        <v>0</v>
      </c>
    </row>
    <row r="310" spans="60:62" ht="39.950000000000003" hidden="1" customHeight="1" x14ac:dyDescent="0.25">
      <c r="BH310" s="19">
        <v>308</v>
      </c>
      <c r="BI310" s="23">
        <v>154</v>
      </c>
      <c r="BJ310" s="46" t="s">
        <v>0</v>
      </c>
    </row>
    <row r="311" spans="60:62" ht="39.950000000000003" hidden="1" customHeight="1" x14ac:dyDescent="0.25">
      <c r="BH311" s="19">
        <v>309</v>
      </c>
      <c r="BI311" s="23">
        <v>154.5</v>
      </c>
      <c r="BJ311" s="46" t="s">
        <v>0</v>
      </c>
    </row>
    <row r="312" spans="60:62" ht="39.950000000000003" hidden="1" customHeight="1" x14ac:dyDescent="0.25">
      <c r="BH312" s="19">
        <v>310</v>
      </c>
      <c r="BI312" s="23">
        <v>155</v>
      </c>
      <c r="BJ312" s="46" t="s">
        <v>0</v>
      </c>
    </row>
    <row r="313" spans="60:62" ht="39.950000000000003" hidden="1" customHeight="1" x14ac:dyDescent="0.25">
      <c r="BH313" s="19">
        <v>311</v>
      </c>
      <c r="BI313" s="23">
        <v>155.5</v>
      </c>
      <c r="BJ313" s="46" t="s">
        <v>0</v>
      </c>
    </row>
    <row r="314" spans="60:62" ht="39.950000000000003" hidden="1" customHeight="1" x14ac:dyDescent="0.25">
      <c r="BH314" s="19">
        <v>312</v>
      </c>
      <c r="BI314" s="23">
        <v>156</v>
      </c>
      <c r="BJ314" s="46" t="s">
        <v>0</v>
      </c>
    </row>
    <row r="315" spans="60:62" ht="39.950000000000003" hidden="1" customHeight="1" x14ac:dyDescent="0.25">
      <c r="BH315" s="19">
        <v>313</v>
      </c>
      <c r="BI315" s="23">
        <v>156.5</v>
      </c>
      <c r="BJ315" s="46" t="s">
        <v>0</v>
      </c>
    </row>
    <row r="316" spans="60:62" ht="39.950000000000003" hidden="1" customHeight="1" x14ac:dyDescent="0.25">
      <c r="BH316" s="19">
        <v>314</v>
      </c>
      <c r="BI316" s="23">
        <v>157</v>
      </c>
      <c r="BJ316" s="46" t="s">
        <v>0</v>
      </c>
    </row>
    <row r="317" spans="60:62" ht="39.950000000000003" hidden="1" customHeight="1" x14ac:dyDescent="0.25">
      <c r="BH317" s="19">
        <v>315</v>
      </c>
      <c r="BI317" s="23">
        <v>157.5</v>
      </c>
      <c r="BJ317" s="46" t="s">
        <v>0</v>
      </c>
    </row>
    <row r="318" spans="60:62" ht="39.950000000000003" hidden="1" customHeight="1" x14ac:dyDescent="0.25">
      <c r="BH318" s="19">
        <v>316</v>
      </c>
      <c r="BI318" s="23">
        <v>158</v>
      </c>
      <c r="BJ318" s="46" t="s">
        <v>0</v>
      </c>
    </row>
    <row r="319" spans="60:62" ht="39.950000000000003" hidden="1" customHeight="1" x14ac:dyDescent="0.25">
      <c r="BH319" s="19">
        <v>317</v>
      </c>
      <c r="BI319" s="23">
        <v>158.5</v>
      </c>
      <c r="BJ319" s="46" t="s">
        <v>0</v>
      </c>
    </row>
    <row r="320" spans="60:62" ht="39.950000000000003" hidden="1" customHeight="1" x14ac:dyDescent="0.25">
      <c r="BH320" s="19">
        <v>318</v>
      </c>
      <c r="BI320" s="23">
        <v>159</v>
      </c>
      <c r="BJ320" s="46" t="s">
        <v>0</v>
      </c>
    </row>
    <row r="321" spans="60:62" ht="39.950000000000003" hidden="1" customHeight="1" x14ac:dyDescent="0.25">
      <c r="BH321" s="19">
        <v>319</v>
      </c>
      <c r="BI321" s="23">
        <v>159.5</v>
      </c>
      <c r="BJ321" s="46" t="s">
        <v>0</v>
      </c>
    </row>
    <row r="322" spans="60:62" ht="39.950000000000003" hidden="1" customHeight="1" x14ac:dyDescent="0.25">
      <c r="BH322" s="19">
        <v>320</v>
      </c>
      <c r="BI322" s="23">
        <v>160</v>
      </c>
      <c r="BJ322" s="46" t="s">
        <v>0</v>
      </c>
    </row>
    <row r="323" spans="60:62" ht="39.950000000000003" hidden="1" customHeight="1" x14ac:dyDescent="0.25">
      <c r="BH323" s="19">
        <v>321</v>
      </c>
      <c r="BI323" s="23">
        <v>160.5</v>
      </c>
      <c r="BJ323" s="46" t="s">
        <v>0</v>
      </c>
    </row>
    <row r="324" spans="60:62" ht="39.950000000000003" hidden="1" customHeight="1" x14ac:dyDescent="0.25">
      <c r="BH324" s="19">
        <v>322</v>
      </c>
      <c r="BI324" s="23">
        <v>161</v>
      </c>
      <c r="BJ324" s="46" t="s">
        <v>0</v>
      </c>
    </row>
    <row r="325" spans="60:62" ht="39.950000000000003" hidden="1" customHeight="1" x14ac:dyDescent="0.25">
      <c r="BH325" s="19">
        <v>323</v>
      </c>
      <c r="BI325" s="23">
        <v>161.5</v>
      </c>
      <c r="BJ325" s="46" t="s">
        <v>0</v>
      </c>
    </row>
    <row r="326" spans="60:62" ht="39.950000000000003" hidden="1" customHeight="1" x14ac:dyDescent="0.25">
      <c r="BH326" s="19">
        <v>324</v>
      </c>
      <c r="BI326" s="23">
        <v>162</v>
      </c>
      <c r="BJ326" s="46" t="s">
        <v>0</v>
      </c>
    </row>
    <row r="327" spans="60:62" ht="39.950000000000003" hidden="1" customHeight="1" x14ac:dyDescent="0.25">
      <c r="BH327" s="19">
        <v>325</v>
      </c>
      <c r="BI327" s="23">
        <v>162.5</v>
      </c>
      <c r="BJ327" s="46" t="s">
        <v>0</v>
      </c>
    </row>
    <row r="328" spans="60:62" ht="39.950000000000003" hidden="1" customHeight="1" x14ac:dyDescent="0.25">
      <c r="BH328" s="19">
        <v>326</v>
      </c>
      <c r="BI328" s="23">
        <v>163</v>
      </c>
      <c r="BJ328" s="46" t="s">
        <v>0</v>
      </c>
    </row>
    <row r="329" spans="60:62" ht="39.950000000000003" hidden="1" customHeight="1" x14ac:dyDescent="0.25">
      <c r="BH329" s="19">
        <v>327</v>
      </c>
      <c r="BI329" s="23">
        <v>163.5</v>
      </c>
      <c r="BJ329" s="46" t="s">
        <v>0</v>
      </c>
    </row>
    <row r="330" spans="60:62" ht="39.950000000000003" hidden="1" customHeight="1" x14ac:dyDescent="0.25">
      <c r="BH330" s="19">
        <v>328</v>
      </c>
      <c r="BI330" s="23">
        <v>164</v>
      </c>
      <c r="BJ330" s="46" t="s">
        <v>0</v>
      </c>
    </row>
    <row r="331" spans="60:62" ht="39.950000000000003" hidden="1" customHeight="1" x14ac:dyDescent="0.25">
      <c r="BH331" s="19">
        <v>329</v>
      </c>
      <c r="BI331" s="23">
        <v>164.5</v>
      </c>
      <c r="BJ331" s="46" t="s">
        <v>0</v>
      </c>
    </row>
    <row r="332" spans="60:62" ht="39.950000000000003" hidden="1" customHeight="1" x14ac:dyDescent="0.25">
      <c r="BH332" s="19">
        <v>330</v>
      </c>
      <c r="BI332" s="23">
        <v>165</v>
      </c>
      <c r="BJ332" s="46" t="s">
        <v>0</v>
      </c>
    </row>
    <row r="333" spans="60:62" ht="39.950000000000003" hidden="1" customHeight="1" x14ac:dyDescent="0.25">
      <c r="BH333" s="19">
        <v>331</v>
      </c>
      <c r="BI333" s="23">
        <v>165.5</v>
      </c>
      <c r="BJ333" s="46" t="s">
        <v>0</v>
      </c>
    </row>
    <row r="334" spans="60:62" ht="39.950000000000003" hidden="1" customHeight="1" x14ac:dyDescent="0.25">
      <c r="BH334" s="19">
        <v>332</v>
      </c>
      <c r="BI334" s="23">
        <v>166</v>
      </c>
      <c r="BJ334" s="46" t="s">
        <v>0</v>
      </c>
    </row>
    <row r="335" spans="60:62" ht="39.950000000000003" hidden="1" customHeight="1" x14ac:dyDescent="0.25">
      <c r="BH335" s="19">
        <v>333</v>
      </c>
      <c r="BI335" s="23">
        <v>166.5</v>
      </c>
      <c r="BJ335" s="46" t="s">
        <v>0</v>
      </c>
    </row>
    <row r="336" spans="60:62" ht="39.950000000000003" hidden="1" customHeight="1" x14ac:dyDescent="0.25">
      <c r="BH336" s="19">
        <v>334</v>
      </c>
      <c r="BI336" s="23">
        <v>167</v>
      </c>
      <c r="BJ336" s="46" t="s">
        <v>0</v>
      </c>
    </row>
    <row r="337" spans="60:62" ht="39.950000000000003" hidden="1" customHeight="1" x14ac:dyDescent="0.25">
      <c r="BH337" s="19">
        <v>335</v>
      </c>
      <c r="BI337" s="23">
        <v>167.5</v>
      </c>
      <c r="BJ337" s="46" t="s">
        <v>0</v>
      </c>
    </row>
    <row r="338" spans="60:62" ht="39.950000000000003" hidden="1" customHeight="1" x14ac:dyDescent="0.25">
      <c r="BH338" s="19">
        <v>336</v>
      </c>
      <c r="BI338" s="23">
        <v>168</v>
      </c>
      <c r="BJ338" s="46" t="s">
        <v>0</v>
      </c>
    </row>
    <row r="339" spans="60:62" ht="39.950000000000003" hidden="1" customHeight="1" x14ac:dyDescent="0.25">
      <c r="BH339" s="19">
        <v>337</v>
      </c>
      <c r="BI339" s="23">
        <v>168.5</v>
      </c>
      <c r="BJ339" s="46" t="s">
        <v>0</v>
      </c>
    </row>
    <row r="340" spans="60:62" ht="39.950000000000003" hidden="1" customHeight="1" x14ac:dyDescent="0.25">
      <c r="BH340" s="19">
        <v>338</v>
      </c>
      <c r="BI340" s="23">
        <v>169</v>
      </c>
      <c r="BJ340" s="46" t="s">
        <v>0</v>
      </c>
    </row>
    <row r="341" spans="60:62" ht="39.950000000000003" hidden="1" customHeight="1" x14ac:dyDescent="0.25">
      <c r="BH341" s="19">
        <v>339</v>
      </c>
      <c r="BI341" s="23">
        <v>169.5</v>
      </c>
      <c r="BJ341" s="46" t="s">
        <v>0</v>
      </c>
    </row>
    <row r="342" spans="60:62" ht="39.950000000000003" hidden="1" customHeight="1" x14ac:dyDescent="0.25">
      <c r="BH342" s="19">
        <v>340</v>
      </c>
      <c r="BI342" s="23">
        <v>170</v>
      </c>
      <c r="BJ342" s="46" t="s">
        <v>0</v>
      </c>
    </row>
    <row r="343" spans="60:62" ht="39.950000000000003" hidden="1" customHeight="1" x14ac:dyDescent="0.25">
      <c r="BH343" s="19">
        <v>341</v>
      </c>
      <c r="BI343" s="23">
        <v>170.5</v>
      </c>
      <c r="BJ343" s="46" t="s">
        <v>0</v>
      </c>
    </row>
    <row r="344" spans="60:62" ht="39.950000000000003" hidden="1" customHeight="1" x14ac:dyDescent="0.25">
      <c r="BH344" s="19">
        <v>342</v>
      </c>
      <c r="BI344" s="23">
        <v>171</v>
      </c>
      <c r="BJ344" s="46" t="s">
        <v>0</v>
      </c>
    </row>
    <row r="345" spans="60:62" ht="39.950000000000003" hidden="1" customHeight="1" x14ac:dyDescent="0.25">
      <c r="BH345" s="19">
        <v>343</v>
      </c>
      <c r="BI345" s="23">
        <v>171.5</v>
      </c>
      <c r="BJ345" s="46" t="s">
        <v>0</v>
      </c>
    </row>
    <row r="346" spans="60:62" ht="39.950000000000003" hidden="1" customHeight="1" x14ac:dyDescent="0.25">
      <c r="BH346" s="19">
        <v>344</v>
      </c>
      <c r="BI346" s="23">
        <v>172</v>
      </c>
      <c r="BJ346" s="46" t="s">
        <v>0</v>
      </c>
    </row>
    <row r="347" spans="60:62" ht="39.950000000000003" hidden="1" customHeight="1" x14ac:dyDescent="0.25">
      <c r="BH347" s="19">
        <v>345</v>
      </c>
      <c r="BI347" s="23">
        <v>172.5</v>
      </c>
      <c r="BJ347" s="46" t="s">
        <v>0</v>
      </c>
    </row>
    <row r="348" spans="60:62" ht="39.950000000000003" hidden="1" customHeight="1" x14ac:dyDescent="0.25">
      <c r="BH348" s="19">
        <v>346</v>
      </c>
      <c r="BI348" s="23">
        <v>173</v>
      </c>
      <c r="BJ348" s="46" t="s">
        <v>0</v>
      </c>
    </row>
    <row r="349" spans="60:62" ht="39.950000000000003" hidden="1" customHeight="1" x14ac:dyDescent="0.25">
      <c r="BH349" s="19">
        <v>347</v>
      </c>
      <c r="BI349" s="23">
        <v>173.5</v>
      </c>
      <c r="BJ349" s="46" t="s">
        <v>0</v>
      </c>
    </row>
    <row r="350" spans="60:62" ht="39.950000000000003" hidden="1" customHeight="1" x14ac:dyDescent="0.25">
      <c r="BH350" s="19">
        <v>348</v>
      </c>
      <c r="BI350" s="23">
        <v>174</v>
      </c>
      <c r="BJ350" s="46" t="s">
        <v>0</v>
      </c>
    </row>
    <row r="351" spans="60:62" ht="39.950000000000003" hidden="1" customHeight="1" x14ac:dyDescent="0.25">
      <c r="BH351" s="19">
        <v>349</v>
      </c>
      <c r="BI351" s="23">
        <v>174.5</v>
      </c>
      <c r="BJ351" s="46" t="s">
        <v>0</v>
      </c>
    </row>
    <row r="352" spans="60:62" ht="39.950000000000003" hidden="1" customHeight="1" x14ac:dyDescent="0.25">
      <c r="BH352" s="19">
        <v>350</v>
      </c>
      <c r="BI352" s="23">
        <v>175</v>
      </c>
      <c r="BJ352" s="46" t="s">
        <v>0</v>
      </c>
    </row>
    <row r="353" spans="60:62" ht="39.950000000000003" hidden="1" customHeight="1" x14ac:dyDescent="0.25">
      <c r="BH353" s="19">
        <v>351</v>
      </c>
      <c r="BI353" s="23">
        <v>175.5</v>
      </c>
      <c r="BJ353" s="46" t="s">
        <v>0</v>
      </c>
    </row>
    <row r="354" spans="60:62" ht="39.950000000000003" hidden="1" customHeight="1" x14ac:dyDescent="0.25">
      <c r="BH354" s="19">
        <v>352</v>
      </c>
      <c r="BI354" s="23">
        <v>176</v>
      </c>
      <c r="BJ354" s="46" t="s">
        <v>0</v>
      </c>
    </row>
    <row r="355" spans="60:62" ht="39.950000000000003" hidden="1" customHeight="1" x14ac:dyDescent="0.25">
      <c r="BH355" s="19">
        <v>353</v>
      </c>
      <c r="BI355" s="23">
        <v>176.5</v>
      </c>
      <c r="BJ355" s="46" t="s">
        <v>0</v>
      </c>
    </row>
    <row r="356" spans="60:62" ht="39.950000000000003" hidden="1" customHeight="1" x14ac:dyDescent="0.25">
      <c r="BH356" s="19">
        <v>354</v>
      </c>
      <c r="BI356" s="23">
        <v>177</v>
      </c>
      <c r="BJ356" s="46" t="s">
        <v>0</v>
      </c>
    </row>
    <row r="357" spans="60:62" ht="39.950000000000003" hidden="1" customHeight="1" x14ac:dyDescent="0.25">
      <c r="BH357" s="19">
        <v>355</v>
      </c>
      <c r="BI357" s="23">
        <v>177.5</v>
      </c>
      <c r="BJ357" s="46" t="s">
        <v>0</v>
      </c>
    </row>
    <row r="358" spans="60:62" ht="39.950000000000003" hidden="1" customHeight="1" x14ac:dyDescent="0.25">
      <c r="BH358" s="19">
        <v>356</v>
      </c>
      <c r="BI358" s="23">
        <v>178</v>
      </c>
      <c r="BJ358" s="46" t="s">
        <v>0</v>
      </c>
    </row>
    <row r="359" spans="60:62" ht="39.950000000000003" hidden="1" customHeight="1" x14ac:dyDescent="0.25">
      <c r="BH359" s="19">
        <v>357</v>
      </c>
      <c r="BI359" s="23">
        <v>178.5</v>
      </c>
      <c r="BJ359" s="46" t="s">
        <v>0</v>
      </c>
    </row>
    <row r="360" spans="60:62" ht="39.950000000000003" hidden="1" customHeight="1" x14ac:dyDescent="0.25">
      <c r="BH360" s="19">
        <v>358</v>
      </c>
      <c r="BI360" s="23">
        <v>179</v>
      </c>
      <c r="BJ360" s="46" t="s">
        <v>0</v>
      </c>
    </row>
    <row r="361" spans="60:62" ht="39.950000000000003" hidden="1" customHeight="1" x14ac:dyDescent="0.25">
      <c r="BH361" s="19">
        <v>359</v>
      </c>
      <c r="BI361" s="23">
        <v>179.5</v>
      </c>
      <c r="BJ361" s="46" t="s">
        <v>0</v>
      </c>
    </row>
    <row r="362" spans="60:62" ht="39.950000000000003" hidden="1" customHeight="1" x14ac:dyDescent="0.25">
      <c r="BH362" s="19">
        <v>360</v>
      </c>
      <c r="BI362" s="23">
        <v>180</v>
      </c>
      <c r="BJ362" s="46" t="s">
        <v>0</v>
      </c>
    </row>
    <row r="363" spans="60:62" ht="9.9499999999999993" hidden="1" customHeight="1" x14ac:dyDescent="0.25"/>
  </sheetData>
  <sheetProtection algorithmName="SHA-512" hashValue="gMEu1SZ6JMzz+aakNuLY2dEkmaEQl9YKAA8duBpC+Gz3ukf5nmjRijHLaQDisHceugJG2Qh8Crip0P64537y+Q==" saltValue="PBppa1CvVySfw2REuK2bMg==" spinCount="100000" sheet="1" objects="1" scenarios="1" selectLockedCells="1"/>
  <mergeCells count="28">
    <mergeCell ref="R1:R14"/>
    <mergeCell ref="Q1:Q14"/>
    <mergeCell ref="T1:T14"/>
    <mergeCell ref="G1:G14"/>
    <mergeCell ref="S1:S14"/>
    <mergeCell ref="AA1:AA28"/>
    <mergeCell ref="A1:B14"/>
    <mergeCell ref="Z2:Z27"/>
    <mergeCell ref="Y2:Y27"/>
    <mergeCell ref="X1:Z1"/>
    <mergeCell ref="U1:U28"/>
    <mergeCell ref="X28:Z28"/>
    <mergeCell ref="V1:V28"/>
    <mergeCell ref="M1:M14"/>
    <mergeCell ref="L1:L14"/>
    <mergeCell ref="X2:X27"/>
    <mergeCell ref="K1:K14"/>
    <mergeCell ref="W1:W28"/>
    <mergeCell ref="C1:C14"/>
    <mergeCell ref="N1:N14"/>
    <mergeCell ref="O1:O14"/>
    <mergeCell ref="P1:P14"/>
    <mergeCell ref="F1:F14"/>
    <mergeCell ref="E1:E14"/>
    <mergeCell ref="H1:H14"/>
    <mergeCell ref="I1:I14"/>
    <mergeCell ref="J1:J14"/>
    <mergeCell ref="D1:D14"/>
  </mergeCells>
  <phoneticPr fontId="4" type="noConversion"/>
  <dataValidations count="9">
    <dataValidation type="list" allowBlank="1" showInputMessage="1" showErrorMessage="1" sqref="AO29:AO40" xr:uid="{FDF252F5-6527-43EE-9CB3-3FF6D7934A6F}">
      <formula1>"Yok, Var"</formula1>
    </dataValidation>
    <dataValidation type="list" allowBlank="1" showInputMessage="1" showErrorMessage="1" sqref="I15:I26" xr:uid="{D6DB34B5-9590-4803-9833-F0079B9818CB}">
      <formula1>$BJ$2:$BJ$50</formula1>
    </dataValidation>
    <dataValidation type="list" allowBlank="1" showInputMessage="1" showErrorMessage="1" sqref="U1:U28" xr:uid="{00000000-0002-0000-0000-000002000000}">
      <formula1>"Ocak, Şubat, Mart, Nisan, Mayıs, Haziran, Temmuz, Ağustos, Eylül, Ekim, Kasım, Aralık, Yıllık Toplam, Yıllık Ortalama"</formula1>
    </dataValidation>
    <dataValidation type="list" allowBlank="1" showInputMessage="1" showErrorMessage="1" sqref="AJ18" xr:uid="{00000000-0002-0000-0000-000003000000}">
      <formula1>#REF!</formula1>
    </dataValidation>
    <dataValidation type="list" allowBlank="1" showInputMessage="1" showErrorMessage="1" sqref="AV15:AV26 E15:G26" xr:uid="{00000000-0002-0000-0000-000005000000}">
      <formula1>$BI$2:$BI$362</formula1>
    </dataValidation>
    <dataValidation type="list" allowBlank="1" showInputMessage="1" showErrorMessage="1" sqref="BA1:BA12 H15:J26 Q15:Q26 AT1:AT12 AP15:AP26 AW1:AW12" xr:uid="{00000000-0002-0000-0000-000006000000}">
      <formula1>$BH$2:$BH$362</formula1>
    </dataValidation>
    <dataValidation type="list" allowBlank="1" showInputMessage="1" showErrorMessage="1" sqref="J15:J26" xr:uid="{7325020B-39D5-44BD-BE83-E1F4896C42EB}">
      <formula1>"Yok,1. Derece,2. Derece,3. Derece"</formula1>
    </dataValidation>
    <dataValidation type="list" allowBlank="1" showInputMessage="1" showErrorMessage="1" sqref="AI29:AK40" xr:uid="{8D39B2D0-F4D0-45BF-964A-23D3EE799D8B}">
      <formula1>$AE$39:$AE$54</formula1>
    </dataValidation>
    <dataValidation type="list" allowBlank="1" showInputMessage="1" showErrorMessage="1" sqref="W1" xr:uid="{00000000-0002-0000-0000-000007000000}">
      <formula1>$AB$21:$AB$34</formula1>
    </dataValidation>
  </dataValidations>
  <printOptions horizontalCentered="1" verticalCentered="1"/>
  <pageMargins left="0" right="0" top="0" bottom="0" header="0" footer="0"/>
  <pageSetup paperSize="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Özet Tablo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dc:creator>
  <dc:description/>
  <cp:lastModifiedBy>½</cp:lastModifiedBy>
  <cp:lastPrinted>2021-01-27T16:23:43Z</cp:lastPrinted>
  <dcterms:created xsi:type="dcterms:W3CDTF">2015-06-05T18:19:34Z</dcterms:created>
  <dcterms:modified xsi:type="dcterms:W3CDTF">2026-04-09T07:56:09Z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